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8800" windowHeight="12135"/>
  </bookViews>
  <sheets>
    <sheet name="000" sheetId="10" r:id="rId1"/>
    <sheet name="Лист2" sheetId="12" r:id="rId2"/>
    <sheet name="Лист1" sheetId="11" r:id="rId3"/>
  </sheets>
  <definedNames>
    <definedName name="_xlnm.Print_Titles" localSheetId="0">'000'!$3:$7</definedName>
    <definedName name="_xlnm.Print_Titles" localSheetId="2">Лист1!$1:$4</definedName>
    <definedName name="_xlnm.Print_Area" localSheetId="0">'000'!$A$1:$F$122</definedName>
  </definedNames>
  <calcPr calcId="152511"/>
</workbook>
</file>

<file path=xl/calcChain.xml><?xml version="1.0" encoding="utf-8"?>
<calcChain xmlns="http://schemas.openxmlformats.org/spreadsheetml/2006/main">
  <c r="F40" i="11" l="1"/>
  <c r="F95" i="10"/>
  <c r="H48" i="11"/>
  <c r="J48" i="11" s="1"/>
  <c r="L48" i="11" s="1"/>
  <c r="G48" i="11"/>
  <c r="I48" i="11" s="1"/>
  <c r="K48" i="11" s="1"/>
  <c r="D66" i="11"/>
  <c r="J65" i="11"/>
  <c r="D65" i="11"/>
  <c r="E65" i="11"/>
  <c r="F65" i="11"/>
  <c r="G65" i="11"/>
  <c r="H65" i="11"/>
  <c r="I65" i="11"/>
  <c r="C65" i="11"/>
  <c r="K70" i="11"/>
  <c r="L70" i="11" s="1"/>
  <c r="M70" i="11" s="1"/>
  <c r="N70" i="11" s="1"/>
  <c r="L40" i="11" s="1"/>
  <c r="J66" i="11"/>
  <c r="I66" i="11"/>
  <c r="H66" i="11"/>
  <c r="G66" i="11"/>
  <c r="F66" i="11"/>
  <c r="E66" i="11"/>
  <c r="I67" i="11" l="1"/>
  <c r="K65" i="11"/>
  <c r="L65" i="11" s="1"/>
  <c r="M65" i="11" s="1"/>
  <c r="N65" i="11" s="1"/>
  <c r="H67" i="11"/>
  <c r="K40" i="11"/>
  <c r="H40" i="11"/>
  <c r="H41" i="11" s="1"/>
  <c r="G40" i="11"/>
  <c r="G41" i="11" s="1"/>
  <c r="J40" i="11"/>
  <c r="L41" i="11" s="1"/>
  <c r="K66" i="11"/>
  <c r="F67" i="11"/>
  <c r="J67" i="11"/>
  <c r="G67" i="11"/>
  <c r="I40" i="11"/>
  <c r="I41" i="11" l="1"/>
  <c r="J41" i="11"/>
  <c r="L66" i="11"/>
  <c r="L63" i="11" s="1"/>
  <c r="K41" i="11"/>
  <c r="D37" i="11"/>
  <c r="E49" i="11"/>
  <c r="M66" i="11" l="1"/>
  <c r="N66" i="11" s="1"/>
  <c r="E41" i="11"/>
  <c r="E37" i="11"/>
  <c r="D19" i="11"/>
  <c r="M63" i="11" l="1"/>
  <c r="N63" i="11" s="1"/>
  <c r="D34" i="11"/>
  <c r="D35" i="11" s="1"/>
  <c r="E34" i="11"/>
  <c r="E35" i="11" s="1"/>
  <c r="E16" i="11"/>
  <c r="E19" i="11"/>
  <c r="D16" i="11"/>
  <c r="F56" i="10" l="1"/>
  <c r="F48" i="10" l="1"/>
  <c r="F47" i="10"/>
  <c r="F108" i="10"/>
  <c r="F84" i="10" l="1"/>
  <c r="F9" i="10" l="1"/>
  <c r="F18" i="10"/>
  <c r="F98" i="10"/>
  <c r="F90" i="10"/>
  <c r="F25" i="10"/>
  <c r="F26" i="10" s="1"/>
  <c r="F37" i="10" l="1"/>
  <c r="F30" i="10"/>
  <c r="F28" i="10"/>
  <c r="D32" i="10" l="1"/>
  <c r="E32" i="10" s="1"/>
  <c r="F32" i="10" s="1"/>
  <c r="E108" i="10" l="1"/>
  <c r="D108" i="10"/>
  <c r="C108" i="10"/>
  <c r="E75" i="10" l="1"/>
  <c r="F77" i="10" s="1"/>
  <c r="D75" i="10"/>
  <c r="D77" i="10" s="1"/>
  <c r="D73" i="10"/>
  <c r="E71" i="10"/>
  <c r="E73" i="10" s="1"/>
  <c r="E77" i="10" l="1"/>
  <c r="F73" i="10"/>
  <c r="C113" i="10"/>
  <c r="E113" i="10"/>
  <c r="D113" i="10"/>
  <c r="C115" i="10"/>
  <c r="E115" i="10"/>
  <c r="D115" i="10"/>
  <c r="F69" i="10" l="1"/>
  <c r="E69" i="10"/>
  <c r="F65" i="10"/>
  <c r="E65" i="10"/>
  <c r="F60" i="10"/>
  <c r="F58" i="10"/>
  <c r="E60" i="10"/>
  <c r="E58" i="10"/>
  <c r="E56" i="10"/>
  <c r="D56" i="10"/>
  <c r="F50" i="10"/>
  <c r="E51" i="10"/>
  <c r="E31" i="10" l="1"/>
  <c r="F21" i="10" l="1"/>
  <c r="F20" i="10"/>
  <c r="E45" i="10"/>
  <c r="F44" i="10"/>
  <c r="F41" i="10"/>
  <c r="F86" i="10"/>
  <c r="F97" i="10"/>
  <c r="F93" i="10"/>
  <c r="F22" i="10" l="1"/>
  <c r="F88" i="10"/>
  <c r="E91" i="10"/>
  <c r="D69" i="10" l="1"/>
  <c r="D65" i="10"/>
  <c r="D60" i="10"/>
  <c r="C60" i="10"/>
  <c r="D58" i="10"/>
  <c r="C58" i="10"/>
  <c r="D51" i="10"/>
  <c r="C51" i="10"/>
  <c r="D91" i="10"/>
  <c r="C91" i="10"/>
  <c r="D88" i="10"/>
  <c r="C88" i="10"/>
  <c r="E86" i="10"/>
  <c r="E87" i="10" s="1"/>
  <c r="D87" i="10"/>
  <c r="C87" i="10"/>
  <c r="D36" i="10"/>
  <c r="C36" i="10"/>
  <c r="C35" i="10" s="1"/>
  <c r="D34" i="10"/>
  <c r="E34" i="10" s="1"/>
  <c r="F34" i="10" s="1"/>
  <c r="C34" i="10"/>
  <c r="C32" i="10"/>
  <c r="C33" i="10" s="1"/>
  <c r="E36" i="10" l="1"/>
  <c r="F36" i="10" s="1"/>
  <c r="D35" i="10"/>
  <c r="E35" i="10" s="1"/>
  <c r="F35" i="10" s="1"/>
  <c r="E88" i="10"/>
  <c r="E89" i="10" s="1"/>
  <c r="D33" i="10"/>
  <c r="D89" i="10"/>
  <c r="C89" i="10"/>
  <c r="E17" i="10"/>
  <c r="D17" i="10"/>
  <c r="C17" i="10"/>
  <c r="C13" i="10" s="1"/>
  <c r="F17" i="10" l="1"/>
  <c r="E13" i="10"/>
  <c r="D22" i="10"/>
  <c r="F13" i="10" l="1"/>
  <c r="E22" i="10"/>
  <c r="E23" i="10" s="1"/>
  <c r="C22" i="10"/>
  <c r="C23" i="10" s="1"/>
  <c r="D31" i="10"/>
  <c r="C31" i="10"/>
  <c r="C29" i="10"/>
  <c r="D28" i="10"/>
  <c r="E29" i="10" s="1"/>
  <c r="E38" i="10"/>
  <c r="D38" i="10"/>
  <c r="C38" i="10"/>
  <c r="D29" i="10" l="1"/>
  <c r="D23" i="10"/>
  <c r="E96" i="10"/>
  <c r="D96" i="10"/>
  <c r="C96" i="10"/>
  <c r="E94" i="10"/>
  <c r="D94" i="10"/>
  <c r="C94" i="10"/>
  <c r="D45" i="10" l="1"/>
  <c r="C45" i="10"/>
  <c r="E42" i="10"/>
  <c r="D42" i="10"/>
  <c r="C42" i="10"/>
  <c r="E26" i="10"/>
  <c r="D26" i="10"/>
  <c r="C26" i="10"/>
  <c r="D13" i="10"/>
  <c r="C14" i="10"/>
  <c r="C15" i="10" s="1"/>
  <c r="E14" i="10" l="1"/>
  <c r="D14" i="10"/>
  <c r="D15" i="10" s="1"/>
</calcChain>
</file>

<file path=xl/sharedStrings.xml><?xml version="1.0" encoding="utf-8"?>
<sst xmlns="http://schemas.openxmlformats.org/spreadsheetml/2006/main" count="465" uniqueCount="199">
  <si>
    <t>I вариант</t>
  </si>
  <si>
    <t>II вариант</t>
  </si>
  <si>
    <t>Ввод в действие жилых домов</t>
  </si>
  <si>
    <t>Оборот общественного питания</t>
  </si>
  <si>
    <t xml:space="preserve">Наименование показателя    </t>
  </si>
  <si>
    <t xml:space="preserve">Единица измерения  </t>
  </si>
  <si>
    <t>в текущих ценах</t>
  </si>
  <si>
    <t>в сопоставимых ценах</t>
  </si>
  <si>
    <t xml:space="preserve">в том числе:         </t>
  </si>
  <si>
    <t>из них  построено населением за счет собственных и заемных средств</t>
  </si>
  <si>
    <t xml:space="preserve">Средняя обеспеченность жильем населения             </t>
  </si>
  <si>
    <t xml:space="preserve">Протяженность автомобильных дорог общего пользования       </t>
  </si>
  <si>
    <t xml:space="preserve">км      </t>
  </si>
  <si>
    <t xml:space="preserve">%      </t>
  </si>
  <si>
    <t xml:space="preserve">Оборот розничной торговли    </t>
  </si>
  <si>
    <t xml:space="preserve">%     </t>
  </si>
  <si>
    <t xml:space="preserve">Средние тарифы на электроэнергию, отпущенную различным категориям потребителей   </t>
  </si>
  <si>
    <t>руб. за МВт-час</t>
  </si>
  <si>
    <t xml:space="preserve">в том числе по группам потребителей:  </t>
  </si>
  <si>
    <t>население</t>
  </si>
  <si>
    <t>c 01.01 по 30.06</t>
  </si>
  <si>
    <t>c 01.07 по 31.12</t>
  </si>
  <si>
    <t>бюджетные потребители</t>
  </si>
  <si>
    <t xml:space="preserve">Средние тарифы на тепловую энергию, отпущенную различным категориям потребителей   </t>
  </si>
  <si>
    <t>для бытовых нужд</t>
  </si>
  <si>
    <t>для коммунальных нужд</t>
  </si>
  <si>
    <t xml:space="preserve">Средний тариф на услуги водоснабжения     </t>
  </si>
  <si>
    <t xml:space="preserve">Средний тариф на услуги водоотведения и очистки сточных вод     </t>
  </si>
  <si>
    <t>Средний размер назначенных пенсий</t>
  </si>
  <si>
    <t xml:space="preserve">Реальные располагаемые денежные доходы населения            </t>
  </si>
  <si>
    <t xml:space="preserve">Численность постоянного населения (среднегодовая)         </t>
  </si>
  <si>
    <t>Численность пенсионеров, состоящих на учете  в системе Пенсионного фонда РФ</t>
  </si>
  <si>
    <t xml:space="preserve">единиц на 1 тыс.  населения </t>
  </si>
  <si>
    <t>2. Промышленное производство</t>
  </si>
  <si>
    <t xml:space="preserve"> 3. Строительство                                                </t>
  </si>
  <si>
    <t xml:space="preserve">4. Транспорт и связь                                        </t>
  </si>
  <si>
    <t>Продукция сельского хозяйства в хозяйствах всех категорий</t>
  </si>
  <si>
    <t>млн рублей</t>
  </si>
  <si>
    <t xml:space="preserve">обеспечение электрической энергией, газом и паром; кондиционирование воздуха
– всего      </t>
  </si>
  <si>
    <t xml:space="preserve">5. Финансовые результаты деятельности организаций. Инвестиции                                                           </t>
  </si>
  <si>
    <t>Сумма убытка организаций</t>
  </si>
  <si>
    <t>Прибыль прибыльных организаций</t>
  </si>
  <si>
    <t>Количество объектов бытового обслуживания</t>
  </si>
  <si>
    <t>Количество объектов розничной торговли и общественного питания</t>
  </si>
  <si>
    <t>Розничная цена на газ природный для населения:</t>
  </si>
  <si>
    <t>% к предыдущему году</t>
  </si>
  <si>
    <t>тыс. кв. метров  общей площади</t>
  </si>
  <si>
    <t xml:space="preserve">кв. метр на 1 жителя </t>
  </si>
  <si>
    <t xml:space="preserve">% к предыдущему году </t>
  </si>
  <si>
    <t>единиц</t>
  </si>
  <si>
    <t>тыс. человек</t>
  </si>
  <si>
    <t xml:space="preserve">% к предыдущему году  </t>
  </si>
  <si>
    <t xml:space="preserve">% к предыдущему году   </t>
  </si>
  <si>
    <t>рублей за МВт-ч</t>
  </si>
  <si>
    <t xml:space="preserve">рублей за Гкал </t>
  </si>
  <si>
    <t xml:space="preserve">рублей за 1 тыс. куб. метров </t>
  </si>
  <si>
    <t xml:space="preserve">рублей за куб. метр </t>
  </si>
  <si>
    <t xml:space="preserve">рублей за куб.метр </t>
  </si>
  <si>
    <t>рублей за тонну</t>
  </si>
  <si>
    <t xml:space="preserve">% к предыдущему году    </t>
  </si>
  <si>
    <t>рублей</t>
  </si>
  <si>
    <t>Величина прожиточного минимума в расчете на душу населения в месяц</t>
  </si>
  <si>
    <t xml:space="preserve">%  от  общей протяженности автомобильных дорог общего пользования          </t>
  </si>
  <si>
    <t xml:space="preserve">Удельный вес автомобильных дорог с твердым покрытием </t>
  </si>
  <si>
    <t xml:space="preserve">% от общей численности населения  </t>
  </si>
  <si>
    <t xml:space="preserve">Доля населения с денежными доходами ниже прожиточного минимума </t>
  </si>
  <si>
    <t>человек</t>
  </si>
  <si>
    <t xml:space="preserve">Уровень безработицы             </t>
  </si>
  <si>
    <t>Численность детей в муниципальных дошкольных образовательных организациях</t>
  </si>
  <si>
    <t>Обеспеченность муниципальными дошкольными образовательными организациями детей в возрасте от 1 года до 6 лет</t>
  </si>
  <si>
    <t>Численность обучающихся в муниципальных общеобразовательных организациях</t>
  </si>
  <si>
    <t>Численность обучающихся в организациях среднего профессионального образования</t>
  </si>
  <si>
    <t>Обеспеченность больничными койками</t>
  </si>
  <si>
    <t>коек на 10 тыс. населения</t>
  </si>
  <si>
    <t xml:space="preserve">Обеспеченность врачами </t>
  </si>
  <si>
    <t xml:space="preserve">Обеспеченность средним медицинским персоналом </t>
  </si>
  <si>
    <t>человек на 10 тыс. населения</t>
  </si>
  <si>
    <t xml:space="preserve">Число заболеваний, зарегистрированных у пациентов с впервые установленным диагнозом </t>
  </si>
  <si>
    <t>1. Сельское хозяйство</t>
  </si>
  <si>
    <t xml:space="preserve"> обрабатывающие производства </t>
  </si>
  <si>
    <t>2019 год</t>
  </si>
  <si>
    <t>2020 год</t>
  </si>
  <si>
    <t>2021 год</t>
  </si>
  <si>
    <t>2017 год</t>
  </si>
  <si>
    <t>2016 год</t>
  </si>
  <si>
    <t>2015 год</t>
  </si>
  <si>
    <t>Оценка на 2018 год</t>
  </si>
  <si>
    <t>Численность постоянного населения в трудоспособном возрасте (на 1 января)</t>
  </si>
  <si>
    <t xml:space="preserve">Среднесписочная  численность работников организаций, не относящихся к субъектам малого предпринимательства  </t>
  </si>
  <si>
    <t>Объем инвестиций (в основной капитал) за счет всех источников финансирования (без учета субъектов малого предпринимательства)</t>
  </si>
  <si>
    <t>-</t>
  </si>
  <si>
    <t xml:space="preserve">Фонд начисленной заработной платы  работников организаций, не относящихся к субъектам малого предпринимательства      </t>
  </si>
  <si>
    <t xml:space="preserve">Среднемесячная начисленная номинальная заработная плата работников организаций, не относящихся к субъектам малого предпринимательства            </t>
  </si>
  <si>
    <r>
      <t xml:space="preserve">Объем отгруженных товаров собственного производства, выполненных работ и услуг собственными силами организаций, не относящихся к субъектам малого предпринимательства, </t>
    </r>
    <r>
      <rPr>
        <sz val="10"/>
        <rFont val="Calibri"/>
        <family val="2"/>
        <charset val="204"/>
      </rPr>
      <t>–</t>
    </r>
    <r>
      <rPr>
        <sz val="10"/>
        <rFont val="Times New Roman"/>
        <family val="1"/>
        <charset val="204"/>
      </rPr>
      <t xml:space="preserve"> всего</t>
    </r>
  </si>
  <si>
    <t>6. Рынок товаров и услуг</t>
  </si>
  <si>
    <t xml:space="preserve">7. Индексы тарифов естественных монополий </t>
  </si>
  <si>
    <t xml:space="preserve">8. Денежные доходы населения                                                 </t>
  </si>
  <si>
    <t xml:space="preserve">9. Демографические показатели. Труд и занятость                                                                                                </t>
  </si>
  <si>
    <t xml:space="preserve">  10. Социальная сфера                                        </t>
  </si>
  <si>
    <t xml:space="preserve">Отчет </t>
  </si>
  <si>
    <t>×</t>
  </si>
  <si>
    <t>Средняя плата за обращение с твердыми коммунальными отходами</t>
  </si>
  <si>
    <t>Численность прнятых туристов и экскурсантов</t>
  </si>
  <si>
    <t>Численность населения, систематически занимающегося физической культурой и спортом</t>
  </si>
  <si>
    <t xml:space="preserve">Численность участников молодежных и детских общественных объединений </t>
  </si>
  <si>
    <t>мест на 1 тыс.  детей</t>
  </si>
  <si>
    <t>Численность детей в возрасте 5 - 18 лет, получающих услуги по дополнительному образованию</t>
  </si>
  <si>
    <t>Ликвидация основных фондов по полной учетной стоимости за год*</t>
  </si>
  <si>
    <t>Ввод в действие  основных фондов*</t>
  </si>
  <si>
    <t>Основные фонды по остаточной стоимости на конец года*</t>
  </si>
  <si>
    <t>Коэффициент износа основных фондов*</t>
  </si>
  <si>
    <t>Примечание:</t>
  </si>
  <si>
    <t>"*" - оценочное значение показателя за 2017 год</t>
  </si>
  <si>
    <t>N п/п</t>
  </si>
  <si>
    <t>Наименование показателя</t>
  </si>
  <si>
    <t>Единица измерения</t>
  </si>
  <si>
    <t>1. Промышленное производство (производство по видам деятельности B, C, D, E Общероссийского классификатора видов экономической деятельности)</t>
  </si>
  <si>
    <t>Объем отгруженных товаров собственного производства, работ и услуг выполненных и оказанных собственными силами</t>
  </si>
  <si>
    <t>млн. рублей</t>
  </si>
  <si>
    <t>2. Сельское хозяйство</t>
  </si>
  <si>
    <t>3. Строительство</t>
  </si>
  <si>
    <t>3.1.</t>
  </si>
  <si>
    <t>3.2.</t>
  </si>
  <si>
    <t>Ввод в действие жилых домов - всего</t>
  </si>
  <si>
    <t>тыс. кв. метров общей площади</t>
  </si>
  <si>
    <t>4.1.</t>
  </si>
  <si>
    <t>Число малых предприятий, включая микро-предприятия (на конец года), - всего</t>
  </si>
  <si>
    <t>4.2.</t>
  </si>
  <si>
    <t>Среднесписочная численность работников (без внешних совместителей) малых предприятий, включая микропредприятия, - всего</t>
  </si>
  <si>
    <t>4.3.</t>
  </si>
  <si>
    <t>Оборот малых предприятий, включая микропредприятия, - всего</t>
  </si>
  <si>
    <t>5. Рынок товаров и услуг</t>
  </si>
  <si>
    <t>5.1.</t>
  </si>
  <si>
    <t>Оборот розничной торговли</t>
  </si>
  <si>
    <t>% к предыдущему году в сопоставимых ценах</t>
  </si>
  <si>
    <t>5.2.</t>
  </si>
  <si>
    <t>6. Финансовые результаты деятельности организаций</t>
  </si>
  <si>
    <t>6.1.</t>
  </si>
  <si>
    <t>6.2.</t>
  </si>
  <si>
    <t>7. Инвестиции</t>
  </si>
  <si>
    <t>Объем инвестиций (в основной капитал) за счет всех источников финансирования</t>
  </si>
  <si>
    <t>8. Денежные доходы и расходы населения</t>
  </si>
  <si>
    <t>8.1.</t>
  </si>
  <si>
    <t>8.2.</t>
  </si>
  <si>
    <t>9. Труд и занятость</t>
  </si>
  <si>
    <t>9.1.</t>
  </si>
  <si>
    <t>9.2.</t>
  </si>
  <si>
    <t>9.3.</t>
  </si>
  <si>
    <t>Уровень зарегистрированной безработицы</t>
  </si>
  <si>
    <t>%</t>
  </si>
  <si>
    <t>10. Демографические показатели</t>
  </si>
  <si>
    <t>10.1.</t>
  </si>
  <si>
    <t>Численность постоянного населения (среднегодовая)</t>
  </si>
  <si>
    <t>10.2.</t>
  </si>
  <si>
    <t>10.3.</t>
  </si>
  <si>
    <t>Миграционный прирост (+), снижение (-)</t>
  </si>
  <si>
    <t>Прогноз</t>
  </si>
  <si>
    <t>1.1.</t>
  </si>
  <si>
    <t>2.1.</t>
  </si>
  <si>
    <t>Отчет</t>
  </si>
  <si>
    <t>…</t>
  </si>
  <si>
    <r>
      <t xml:space="preserve">Среднемесячная начисленная номинальная заработная плата работников по полному кругу организаций 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</si>
  <si>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Численность безработных граждан, зарегистрированных в органах службы занятости</t>
    </r>
    <r>
      <rPr>
        <sz val="9"/>
        <color rgb="FFFF000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(за период с начала отчетного года)</t>
    </r>
  </si>
  <si>
    <t>Безработные</t>
  </si>
  <si>
    <t>Миграция город</t>
  </si>
  <si>
    <t>Миграция район</t>
  </si>
  <si>
    <t>ИТОГО</t>
  </si>
  <si>
    <t>Абс прирост</t>
  </si>
  <si>
    <t>гор и р-н</t>
  </si>
  <si>
    <t>Примечания:</t>
  </si>
  <si>
    <t>"×" - невозможность явления, сопоставление не имеет смысла</t>
  </si>
  <si>
    <t>"…" - данных не имеется или не публикуются в целях обеспечения конфиденциальности</t>
  </si>
  <si>
    <t>" - " - явление отсутствует</t>
  </si>
  <si>
    <r>
      <rPr>
        <vertAlign val="superscript"/>
        <sz val="10"/>
        <color theme="1"/>
        <rFont val="Times New Roman"/>
        <family val="1"/>
        <charset val="204"/>
      </rPr>
      <t xml:space="preserve"> 1</t>
    </r>
    <r>
      <rPr>
        <sz val="10"/>
        <color theme="1"/>
        <rFont val="Times New Roman"/>
        <family val="1"/>
        <charset val="204"/>
      </rPr>
      <t xml:space="preserve"> - С 2018 года формирование информации по малому предпринимательству в разрезе муниципальных образований не осуществляется, так как выборка по малым и микропредприятиям и однозначным перечням организаций, обязанных отчитываться, осуществляется Росстатом на федеральном уровне в целом по субъектам РФ без учета муниципального разреза.</t>
    </r>
  </si>
  <si>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 xml:space="preserve"> - с 2018 года информация предоставлена по организациям, не относящимся к субъектам малого предпринимательства</t>
    </r>
  </si>
  <si>
    <t>Объем работ, выполненных по виду деятельности "Строительство"</t>
  </si>
  <si>
    <r>
      <t xml:space="preserve">4. Малое предпринимательство </t>
    </r>
    <r>
      <rPr>
        <vertAlign val="superscript"/>
        <sz val="12"/>
        <color theme="1"/>
        <rFont val="Times New Roman"/>
        <family val="1"/>
        <charset val="204"/>
      </rPr>
      <t>1</t>
    </r>
  </si>
  <si>
    <t>Численность занятых в экономике (среднегодовая)</t>
  </si>
  <si>
    <r>
      <t xml:space="preserve">Фонд начисленной заработной платы всех работников по полному кругу организаций </t>
    </r>
    <r>
      <rPr>
        <vertAlign val="superscript"/>
        <sz val="12"/>
        <color theme="1"/>
        <rFont val="Times New Roman"/>
        <family val="1"/>
        <charset val="204"/>
      </rPr>
      <t>2</t>
    </r>
  </si>
  <si>
    <t>Отдел ВМР ГО и ЧС</t>
  </si>
  <si>
    <t>Документ</t>
  </si>
  <si>
    <t>УЭ</t>
  </si>
  <si>
    <t>+</t>
  </si>
  <si>
    <t>УСЗНиТ соц поддержка 2014-2018</t>
  </si>
  <si>
    <t>УФ бюдж прогноз 2017-2022</t>
  </si>
  <si>
    <t>УО развитие образ 2014-2016</t>
  </si>
  <si>
    <t>МКУ охрана ОС 2015-2018</t>
  </si>
  <si>
    <t>МКУ дорож хоз-во 2016-2020</t>
  </si>
  <si>
    <t>ОУиРЖ обеспечение комф жильем 2016-2018</t>
  </si>
  <si>
    <t>Культура равитие физк, культ и туризма 2016-2018</t>
  </si>
  <si>
    <t>на рассм</t>
  </si>
  <si>
    <t>УА обеспеч качеств ком усл 2016</t>
  </si>
  <si>
    <t>МКУ формир совр гор среды 2017-2022</t>
  </si>
  <si>
    <t>МКУ энергоэффективность 2016</t>
  </si>
  <si>
    <t>МКУ энергоэффективность 2017-2022</t>
  </si>
  <si>
    <t>Предварительные итоги социально-экономического развития городского округа город Переславль-Залесский за истекший период 2017 года и ожидаемые итоги на 2018 год</t>
  </si>
  <si>
    <t>Начальник управления экономики</t>
  </si>
  <si>
    <t>Т.С. Ильина</t>
  </si>
  <si>
    <t>Исп. Соломатина Т.Е., 32689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</si>
</sst>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00"/>
  </numFmts>
  <fonts count="2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Calibri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sz val="10"/>
      <color indexed="10"/>
      <name val="Arial Cyr"/>
      <charset val="204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6"/>
      <name val="Arial"/>
      <family val="2"/>
      <charset val="204"/>
    </font>
    <font>
      <vertAlign val="superscript"/>
      <sz val="10"/>
      <color theme="1"/>
      <name val="Times New Roman"/>
      <family val="1"/>
      <charset val="204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2" fillId="0" borderId="0"/>
    <xf numFmtId="0" fontId="12" fillId="0" borderId="0"/>
  </cellStyleXfs>
  <cellXfs count="138">
    <xf numFmtId="0" fontId="0" fillId="0" borderId="0" xfId="0"/>
    <xf numFmtId="164" fontId="6" fillId="0" borderId="1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1" fontId="6" fillId="0" borderId="1" xfId="1" applyNumberFormat="1" applyFont="1" applyFill="1" applyBorder="1" applyAlignment="1">
      <alignment horizontal="center" vertical="center" wrapText="1"/>
    </xf>
    <xf numFmtId="164" fontId="6" fillId="0" borderId="10" xfId="1" applyNumberFormat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vertical="center" wrapText="1"/>
    </xf>
    <xf numFmtId="1" fontId="6" fillId="0" borderId="4" xfId="1" applyNumberFormat="1" applyFont="1" applyFill="1" applyBorder="1" applyAlignment="1">
      <alignment horizontal="center" vertical="center" wrapText="1"/>
    </xf>
    <xf numFmtId="3" fontId="6" fillId="0" borderId="1" xfId="1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164" fontId="6" fillId="0" borderId="2" xfId="1" applyNumberFormat="1" applyFont="1" applyFill="1" applyBorder="1" applyAlignment="1">
      <alignment horizontal="center" vertical="center" wrapText="1"/>
    </xf>
    <xf numFmtId="164" fontId="6" fillId="0" borderId="4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165" fontId="6" fillId="2" borderId="1" xfId="1" applyNumberFormat="1" applyFont="1" applyFill="1" applyBorder="1" applyAlignment="1">
      <alignment horizontal="center" vertical="center" wrapText="1"/>
    </xf>
    <xf numFmtId="2" fontId="6" fillId="2" borderId="1" xfId="1" applyNumberFormat="1" applyFont="1" applyFill="1" applyBorder="1" applyAlignment="1">
      <alignment horizontal="center" vertical="center" wrapText="1"/>
    </xf>
    <xf numFmtId="164" fontId="6" fillId="2" borderId="1" xfId="1" applyNumberFormat="1" applyFont="1" applyFill="1" applyBorder="1" applyAlignment="1">
      <alignment horizontal="center" vertical="center" wrapText="1"/>
    </xf>
    <xf numFmtId="164" fontId="6" fillId="2" borderId="0" xfId="1" applyNumberFormat="1" applyFont="1" applyFill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164" fontId="10" fillId="0" borderId="1" xfId="1" applyNumberFormat="1" applyFont="1" applyFill="1" applyBorder="1" applyAlignment="1">
      <alignment horizontal="center" vertical="center" wrapText="1"/>
    </xf>
    <xf numFmtId="164" fontId="6" fillId="0" borderId="0" xfId="1" applyNumberFormat="1" applyFont="1" applyFill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12" fillId="0" borderId="1" xfId="1" applyFill="1" applyBorder="1" applyAlignment="1">
      <alignment horizontal="left" vertical="center" wrapText="1"/>
    </xf>
    <xf numFmtId="1" fontId="6" fillId="0" borderId="1" xfId="2" applyNumberFormat="1" applyFont="1" applyFill="1" applyBorder="1" applyAlignment="1">
      <alignment horizontal="center" vertical="center" wrapText="1"/>
    </xf>
    <xf numFmtId="1" fontId="6" fillId="0" borderId="2" xfId="1" applyNumberFormat="1" applyFont="1" applyFill="1" applyBorder="1" applyAlignment="1">
      <alignment horizontal="center" vertical="center" wrapText="1"/>
    </xf>
    <xf numFmtId="2" fontId="18" fillId="0" borderId="1" xfId="1" applyNumberFormat="1" applyFont="1" applyFill="1" applyBorder="1" applyAlignment="1">
      <alignment horizontal="center" vertical="center" wrapText="1"/>
    </xf>
    <xf numFmtId="164" fontId="18" fillId="0" borderId="1" xfId="1" applyNumberFormat="1" applyFont="1" applyFill="1" applyBorder="1" applyAlignment="1">
      <alignment horizontal="center" vertical="center" wrapText="1"/>
    </xf>
    <xf numFmtId="164" fontId="18" fillId="0" borderId="10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2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22" fillId="4" borderId="0" xfId="0" applyFont="1" applyFill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4" borderId="16" xfId="0" applyFont="1" applyFill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164" fontId="26" fillId="5" borderId="17" xfId="0" applyNumberFormat="1" applyFont="1" applyFill="1" applyBorder="1" applyAlignment="1">
      <alignment horizontal="center" vertical="center"/>
    </xf>
    <xf numFmtId="0" fontId="22" fillId="6" borderId="0" xfId="0" applyFont="1" applyFill="1" applyAlignment="1">
      <alignment horizontal="left" vertical="center"/>
    </xf>
    <xf numFmtId="0" fontId="22" fillId="6" borderId="0" xfId="0" applyFont="1" applyFill="1" applyAlignment="1">
      <alignment horizontal="center" vertical="center"/>
    </xf>
    <xf numFmtId="0" fontId="1" fillId="6" borderId="0" xfId="0" applyFont="1" applyFill="1" applyBorder="1" applyAlignment="1">
      <alignment horizontal="center" vertical="center" wrapText="1"/>
    </xf>
    <xf numFmtId="164" fontId="26" fillId="5" borderId="0" xfId="0" applyNumberFormat="1" applyFont="1" applyFill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164" fontId="26" fillId="5" borderId="21" xfId="0" applyNumberFormat="1" applyFont="1" applyFill="1" applyBorder="1" applyAlignment="1">
      <alignment horizontal="center" vertical="center"/>
    </xf>
    <xf numFmtId="0" fontId="22" fillId="6" borderId="13" xfId="0" applyFont="1" applyFill="1" applyBorder="1" applyAlignment="1">
      <alignment horizontal="center" vertical="center"/>
    </xf>
    <xf numFmtId="0" fontId="22" fillId="6" borderId="14" xfId="0" applyFont="1" applyFill="1" applyBorder="1" applyAlignment="1">
      <alignment horizontal="center" vertical="center"/>
    </xf>
    <xf numFmtId="0" fontId="22" fillId="6" borderId="15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2" fillId="0" borderId="4" xfId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28" fillId="0" borderId="1" xfId="0" applyFont="1" applyBorder="1" applyAlignment="1">
      <alignment horizontal="center" vertical="center"/>
    </xf>
    <xf numFmtId="0" fontId="12" fillId="0" borderId="0" xfId="1" applyFill="1" applyAlignment="1">
      <alignment vertical="center" wrapText="1"/>
    </xf>
    <xf numFmtId="0" fontId="11" fillId="0" borderId="0" xfId="1" applyFont="1" applyFill="1" applyAlignment="1">
      <alignment horizontal="center" vertical="center" wrapText="1"/>
    </xf>
    <xf numFmtId="0" fontId="12" fillId="0" borderId="0" xfId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15" fillId="0" borderId="0" xfId="1" applyFont="1" applyFill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14" fillId="0" borderId="0" xfId="1" applyFont="1" applyFill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13" fillId="0" borderId="0" xfId="1" applyFont="1" applyFill="1" applyAlignment="1">
      <alignment horizontal="center" vertical="center" wrapText="1"/>
    </xf>
    <xf numFmtId="0" fontId="8" fillId="0" borderId="1" xfId="1" applyFont="1" applyFill="1" applyBorder="1" applyAlignment="1">
      <alignment horizontal="right" vertical="center" wrapText="1"/>
    </xf>
    <xf numFmtId="0" fontId="13" fillId="0" borderId="0" xfId="1" applyFont="1" applyFill="1" applyAlignment="1">
      <alignment horizontal="left" vertical="center" wrapText="1"/>
    </xf>
    <xf numFmtId="0" fontId="12" fillId="0" borderId="0" xfId="1" applyFont="1" applyFill="1" applyAlignment="1">
      <alignment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9" fillId="0" borderId="4" xfId="1" applyFont="1" applyFill="1" applyBorder="1" applyAlignment="1">
      <alignment horizontal="center" vertical="center" wrapText="1"/>
    </xf>
    <xf numFmtId="166" fontId="12" fillId="0" borderId="0" xfId="1" applyNumberFormat="1" applyFill="1" applyAlignment="1">
      <alignment vertical="center" wrapText="1"/>
    </xf>
    <xf numFmtId="0" fontId="6" fillId="0" borderId="2" xfId="1" applyFont="1" applyFill="1" applyBorder="1" applyAlignment="1">
      <alignment vertical="center" wrapText="1"/>
    </xf>
    <xf numFmtId="165" fontId="6" fillId="0" borderId="0" xfId="1" applyNumberFormat="1" applyFont="1" applyFill="1" applyAlignment="1">
      <alignment horizontal="center" vertical="center" wrapText="1"/>
    </xf>
    <xf numFmtId="164" fontId="12" fillId="0" borderId="0" xfId="1" applyNumberFormat="1" applyFill="1" applyAlignment="1">
      <alignment vertical="center" wrapText="1"/>
    </xf>
    <xf numFmtId="0" fontId="6" fillId="0" borderId="8" xfId="1" applyFont="1" applyFill="1" applyBorder="1" applyAlignment="1">
      <alignment vertical="center" wrapText="1"/>
    </xf>
    <xf numFmtId="0" fontId="12" fillId="0" borderId="1" xfId="1" applyFill="1" applyBorder="1" applyAlignment="1">
      <alignment vertical="center" wrapText="1"/>
    </xf>
    <xf numFmtId="0" fontId="6" fillId="0" borderId="1" xfId="1" applyFont="1" applyFill="1" applyBorder="1" applyAlignment="1">
      <alignment horizontal="right" vertical="center" wrapText="1"/>
    </xf>
    <xf numFmtId="0" fontId="18" fillId="0" borderId="4" xfId="0" applyFont="1" applyBorder="1" applyAlignment="1">
      <alignment horizontal="left" vertical="center" wrapText="1"/>
    </xf>
    <xf numFmtId="0" fontId="20" fillId="0" borderId="0" xfId="1" applyFont="1" applyFill="1" applyAlignment="1">
      <alignment vertical="center" wrapText="1"/>
    </xf>
    <xf numFmtId="0" fontId="20" fillId="0" borderId="0" xfId="1" applyFont="1" applyFill="1" applyAlignment="1">
      <alignment horizontal="center" vertical="center" wrapText="1"/>
    </xf>
    <xf numFmtId="0" fontId="21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 wrapText="1"/>
    </xf>
    <xf numFmtId="0" fontId="12" fillId="0" borderId="4" xfId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12" fillId="0" borderId="4" xfId="1" applyBorder="1" applyAlignment="1">
      <alignment horizontal="left" vertical="center" wrapText="1"/>
    </xf>
    <xf numFmtId="0" fontId="6" fillId="0" borderId="2" xfId="1" applyFont="1" applyFill="1" applyBorder="1" applyAlignment="1">
      <alignment vertical="center" wrapText="1"/>
    </xf>
    <xf numFmtId="0" fontId="12" fillId="0" borderId="4" xfId="1" applyFill="1" applyBorder="1" applyAlignment="1">
      <alignment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3" fillId="0" borderId="9" xfId="1" applyFont="1" applyFill="1" applyBorder="1" applyAlignment="1">
      <alignment horizontal="center" vertical="center" wrapText="1"/>
    </xf>
    <xf numFmtId="0" fontId="12" fillId="0" borderId="4" xfId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0" fillId="0" borderId="0" xfId="1" applyFont="1" applyFill="1" applyAlignment="1">
      <alignment horizontal="center" vertical="center" wrapText="1"/>
    </xf>
    <xf numFmtId="0" fontId="0" fillId="0" borderId="4" xfId="0" applyFill="1" applyBorder="1" applyAlignment="1">
      <alignment horizontal="left" vertical="center" wrapText="1"/>
    </xf>
    <xf numFmtId="0" fontId="12" fillId="0" borderId="4" xfId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left" vertical="center"/>
    </xf>
  </cellXfs>
  <cellStyles count="3">
    <cellStyle name="Обычный" xfId="0" builtinId="0"/>
    <cellStyle name="Обычный 2" xfId="1"/>
    <cellStyle name="Обычный 2 5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2"/>
  <sheetViews>
    <sheetView showGridLines="0" tabSelected="1" view="pageBreakPreview" zoomScaleNormal="150" zoomScaleSheetLayoutView="100" workbookViewId="0">
      <pane ySplit="7" topLeftCell="A8" activePane="bottomLeft" state="frozen"/>
      <selection pane="bottomLeft" activeCell="J29" sqref="J29"/>
    </sheetView>
  </sheetViews>
  <sheetFormatPr defaultRowHeight="12.75" x14ac:dyDescent="0.25"/>
  <cols>
    <col min="1" max="1" width="90.28515625" style="75" customWidth="1"/>
    <col min="2" max="2" width="12.5703125" style="76" customWidth="1"/>
    <col min="3" max="3" width="8.5703125" style="77" customWidth="1"/>
    <col min="4" max="5" width="8.5703125" style="78" customWidth="1"/>
    <col min="6" max="6" width="8.7109375" style="79" customWidth="1"/>
    <col min="7" max="7" width="23.28515625" style="75" customWidth="1"/>
    <col min="8" max="8" width="11.5703125" style="75" bestFit="1" customWidth="1"/>
    <col min="9" max="251" width="9.140625" style="75"/>
    <col min="252" max="252" width="70.28515625" style="75" customWidth="1"/>
    <col min="253" max="253" width="10.85546875" style="75" customWidth="1"/>
    <col min="254" max="256" width="8.5703125" style="75" customWidth="1"/>
    <col min="257" max="257" width="9.5703125" style="75" customWidth="1"/>
    <col min="258" max="258" width="8.7109375" style="75" customWidth="1"/>
    <col min="259" max="259" width="8" style="75" customWidth="1"/>
    <col min="260" max="261" width="7.42578125" style="75" customWidth="1"/>
    <col min="262" max="262" width="0" style="75" hidden="1" customWidth="1"/>
    <col min="263" max="263" width="23.28515625" style="75" customWidth="1"/>
    <col min="264" max="264" width="11.5703125" style="75" bestFit="1" customWidth="1"/>
    <col min="265" max="507" width="9.140625" style="75"/>
    <col min="508" max="508" width="70.28515625" style="75" customWidth="1"/>
    <col min="509" max="509" width="10.85546875" style="75" customWidth="1"/>
    <col min="510" max="512" width="8.5703125" style="75" customWidth="1"/>
    <col min="513" max="513" width="9.5703125" style="75" customWidth="1"/>
    <col min="514" max="514" width="8.7109375" style="75" customWidth="1"/>
    <col min="515" max="515" width="8" style="75" customWidth="1"/>
    <col min="516" max="517" width="7.42578125" style="75" customWidth="1"/>
    <col min="518" max="518" width="0" style="75" hidden="1" customWidth="1"/>
    <col min="519" max="519" width="23.28515625" style="75" customWidth="1"/>
    <col min="520" max="520" width="11.5703125" style="75" bestFit="1" customWidth="1"/>
    <col min="521" max="763" width="9.140625" style="75"/>
    <col min="764" max="764" width="70.28515625" style="75" customWidth="1"/>
    <col min="765" max="765" width="10.85546875" style="75" customWidth="1"/>
    <col min="766" max="768" width="8.5703125" style="75" customWidth="1"/>
    <col min="769" max="769" width="9.5703125" style="75" customWidth="1"/>
    <col min="770" max="770" width="8.7109375" style="75" customWidth="1"/>
    <col min="771" max="771" width="8" style="75" customWidth="1"/>
    <col min="772" max="773" width="7.42578125" style="75" customWidth="1"/>
    <col min="774" max="774" width="0" style="75" hidden="1" customWidth="1"/>
    <col min="775" max="775" width="23.28515625" style="75" customWidth="1"/>
    <col min="776" max="776" width="11.5703125" style="75" bestFit="1" customWidth="1"/>
    <col min="777" max="1019" width="9.140625" style="75"/>
    <col min="1020" max="1020" width="70.28515625" style="75" customWidth="1"/>
    <col min="1021" max="1021" width="10.85546875" style="75" customWidth="1"/>
    <col min="1022" max="1024" width="8.5703125" style="75" customWidth="1"/>
    <col min="1025" max="1025" width="9.5703125" style="75" customWidth="1"/>
    <col min="1026" max="1026" width="8.7109375" style="75" customWidth="1"/>
    <col min="1027" max="1027" width="8" style="75" customWidth="1"/>
    <col min="1028" max="1029" width="7.42578125" style="75" customWidth="1"/>
    <col min="1030" max="1030" width="0" style="75" hidden="1" customWidth="1"/>
    <col min="1031" max="1031" width="23.28515625" style="75" customWidth="1"/>
    <col min="1032" max="1032" width="11.5703125" style="75" bestFit="1" customWidth="1"/>
    <col min="1033" max="1275" width="9.140625" style="75"/>
    <col min="1276" max="1276" width="70.28515625" style="75" customWidth="1"/>
    <col min="1277" max="1277" width="10.85546875" style="75" customWidth="1"/>
    <col min="1278" max="1280" width="8.5703125" style="75" customWidth="1"/>
    <col min="1281" max="1281" width="9.5703125" style="75" customWidth="1"/>
    <col min="1282" max="1282" width="8.7109375" style="75" customWidth="1"/>
    <col min="1283" max="1283" width="8" style="75" customWidth="1"/>
    <col min="1284" max="1285" width="7.42578125" style="75" customWidth="1"/>
    <col min="1286" max="1286" width="0" style="75" hidden="1" customWidth="1"/>
    <col min="1287" max="1287" width="23.28515625" style="75" customWidth="1"/>
    <col min="1288" max="1288" width="11.5703125" style="75" bestFit="1" customWidth="1"/>
    <col min="1289" max="1531" width="9.140625" style="75"/>
    <col min="1532" max="1532" width="70.28515625" style="75" customWidth="1"/>
    <col min="1533" max="1533" width="10.85546875" style="75" customWidth="1"/>
    <col min="1534" max="1536" width="8.5703125" style="75" customWidth="1"/>
    <col min="1537" max="1537" width="9.5703125" style="75" customWidth="1"/>
    <col min="1538" max="1538" width="8.7109375" style="75" customWidth="1"/>
    <col min="1539" max="1539" width="8" style="75" customWidth="1"/>
    <col min="1540" max="1541" width="7.42578125" style="75" customWidth="1"/>
    <col min="1542" max="1542" width="0" style="75" hidden="1" customWidth="1"/>
    <col min="1543" max="1543" width="23.28515625" style="75" customWidth="1"/>
    <col min="1544" max="1544" width="11.5703125" style="75" bestFit="1" customWidth="1"/>
    <col min="1545" max="1787" width="9.140625" style="75"/>
    <col min="1788" max="1788" width="70.28515625" style="75" customWidth="1"/>
    <col min="1789" max="1789" width="10.85546875" style="75" customWidth="1"/>
    <col min="1790" max="1792" width="8.5703125" style="75" customWidth="1"/>
    <col min="1793" max="1793" width="9.5703125" style="75" customWidth="1"/>
    <col min="1794" max="1794" width="8.7109375" style="75" customWidth="1"/>
    <col min="1795" max="1795" width="8" style="75" customWidth="1"/>
    <col min="1796" max="1797" width="7.42578125" style="75" customWidth="1"/>
    <col min="1798" max="1798" width="0" style="75" hidden="1" customWidth="1"/>
    <col min="1799" max="1799" width="23.28515625" style="75" customWidth="1"/>
    <col min="1800" max="1800" width="11.5703125" style="75" bestFit="1" customWidth="1"/>
    <col min="1801" max="2043" width="9.140625" style="75"/>
    <col min="2044" max="2044" width="70.28515625" style="75" customWidth="1"/>
    <col min="2045" max="2045" width="10.85546875" style="75" customWidth="1"/>
    <col min="2046" max="2048" width="8.5703125" style="75" customWidth="1"/>
    <col min="2049" max="2049" width="9.5703125" style="75" customWidth="1"/>
    <col min="2050" max="2050" width="8.7109375" style="75" customWidth="1"/>
    <col min="2051" max="2051" width="8" style="75" customWidth="1"/>
    <col min="2052" max="2053" width="7.42578125" style="75" customWidth="1"/>
    <col min="2054" max="2054" width="0" style="75" hidden="1" customWidth="1"/>
    <col min="2055" max="2055" width="23.28515625" style="75" customWidth="1"/>
    <col min="2056" max="2056" width="11.5703125" style="75" bestFit="1" customWidth="1"/>
    <col min="2057" max="2299" width="9.140625" style="75"/>
    <col min="2300" max="2300" width="70.28515625" style="75" customWidth="1"/>
    <col min="2301" max="2301" width="10.85546875" style="75" customWidth="1"/>
    <col min="2302" max="2304" width="8.5703125" style="75" customWidth="1"/>
    <col min="2305" max="2305" width="9.5703125" style="75" customWidth="1"/>
    <col min="2306" max="2306" width="8.7109375" style="75" customWidth="1"/>
    <col min="2307" max="2307" width="8" style="75" customWidth="1"/>
    <col min="2308" max="2309" width="7.42578125" style="75" customWidth="1"/>
    <col min="2310" max="2310" width="0" style="75" hidden="1" customWidth="1"/>
    <col min="2311" max="2311" width="23.28515625" style="75" customWidth="1"/>
    <col min="2312" max="2312" width="11.5703125" style="75" bestFit="1" customWidth="1"/>
    <col min="2313" max="2555" width="9.140625" style="75"/>
    <col min="2556" max="2556" width="70.28515625" style="75" customWidth="1"/>
    <col min="2557" max="2557" width="10.85546875" style="75" customWidth="1"/>
    <col min="2558" max="2560" width="8.5703125" style="75" customWidth="1"/>
    <col min="2561" max="2561" width="9.5703125" style="75" customWidth="1"/>
    <col min="2562" max="2562" width="8.7109375" style="75" customWidth="1"/>
    <col min="2563" max="2563" width="8" style="75" customWidth="1"/>
    <col min="2564" max="2565" width="7.42578125" style="75" customWidth="1"/>
    <col min="2566" max="2566" width="0" style="75" hidden="1" customWidth="1"/>
    <col min="2567" max="2567" width="23.28515625" style="75" customWidth="1"/>
    <col min="2568" max="2568" width="11.5703125" style="75" bestFit="1" customWidth="1"/>
    <col min="2569" max="2811" width="9.140625" style="75"/>
    <col min="2812" max="2812" width="70.28515625" style="75" customWidth="1"/>
    <col min="2813" max="2813" width="10.85546875" style="75" customWidth="1"/>
    <col min="2814" max="2816" width="8.5703125" style="75" customWidth="1"/>
    <col min="2817" max="2817" width="9.5703125" style="75" customWidth="1"/>
    <col min="2818" max="2818" width="8.7109375" style="75" customWidth="1"/>
    <col min="2819" max="2819" width="8" style="75" customWidth="1"/>
    <col min="2820" max="2821" width="7.42578125" style="75" customWidth="1"/>
    <col min="2822" max="2822" width="0" style="75" hidden="1" customWidth="1"/>
    <col min="2823" max="2823" width="23.28515625" style="75" customWidth="1"/>
    <col min="2824" max="2824" width="11.5703125" style="75" bestFit="1" customWidth="1"/>
    <col min="2825" max="3067" width="9.140625" style="75"/>
    <col min="3068" max="3068" width="70.28515625" style="75" customWidth="1"/>
    <col min="3069" max="3069" width="10.85546875" style="75" customWidth="1"/>
    <col min="3070" max="3072" width="8.5703125" style="75" customWidth="1"/>
    <col min="3073" max="3073" width="9.5703125" style="75" customWidth="1"/>
    <col min="3074" max="3074" width="8.7109375" style="75" customWidth="1"/>
    <col min="3075" max="3075" width="8" style="75" customWidth="1"/>
    <col min="3076" max="3077" width="7.42578125" style="75" customWidth="1"/>
    <col min="3078" max="3078" width="0" style="75" hidden="1" customWidth="1"/>
    <col min="3079" max="3079" width="23.28515625" style="75" customWidth="1"/>
    <col min="3080" max="3080" width="11.5703125" style="75" bestFit="1" customWidth="1"/>
    <col min="3081" max="3323" width="9.140625" style="75"/>
    <col min="3324" max="3324" width="70.28515625" style="75" customWidth="1"/>
    <col min="3325" max="3325" width="10.85546875" style="75" customWidth="1"/>
    <col min="3326" max="3328" width="8.5703125" style="75" customWidth="1"/>
    <col min="3329" max="3329" width="9.5703125" style="75" customWidth="1"/>
    <col min="3330" max="3330" width="8.7109375" style="75" customWidth="1"/>
    <col min="3331" max="3331" width="8" style="75" customWidth="1"/>
    <col min="3332" max="3333" width="7.42578125" style="75" customWidth="1"/>
    <col min="3334" max="3334" width="0" style="75" hidden="1" customWidth="1"/>
    <col min="3335" max="3335" width="23.28515625" style="75" customWidth="1"/>
    <col min="3336" max="3336" width="11.5703125" style="75" bestFit="1" customWidth="1"/>
    <col min="3337" max="3579" width="9.140625" style="75"/>
    <col min="3580" max="3580" width="70.28515625" style="75" customWidth="1"/>
    <col min="3581" max="3581" width="10.85546875" style="75" customWidth="1"/>
    <col min="3582" max="3584" width="8.5703125" style="75" customWidth="1"/>
    <col min="3585" max="3585" width="9.5703125" style="75" customWidth="1"/>
    <col min="3586" max="3586" width="8.7109375" style="75" customWidth="1"/>
    <col min="3587" max="3587" width="8" style="75" customWidth="1"/>
    <col min="3588" max="3589" width="7.42578125" style="75" customWidth="1"/>
    <col min="3590" max="3590" width="0" style="75" hidden="1" customWidth="1"/>
    <col min="3591" max="3591" width="23.28515625" style="75" customWidth="1"/>
    <col min="3592" max="3592" width="11.5703125" style="75" bestFit="1" customWidth="1"/>
    <col min="3593" max="3835" width="9.140625" style="75"/>
    <col min="3836" max="3836" width="70.28515625" style="75" customWidth="1"/>
    <col min="3837" max="3837" width="10.85546875" style="75" customWidth="1"/>
    <col min="3838" max="3840" width="8.5703125" style="75" customWidth="1"/>
    <col min="3841" max="3841" width="9.5703125" style="75" customWidth="1"/>
    <col min="3842" max="3842" width="8.7109375" style="75" customWidth="1"/>
    <col min="3843" max="3843" width="8" style="75" customWidth="1"/>
    <col min="3844" max="3845" width="7.42578125" style="75" customWidth="1"/>
    <col min="3846" max="3846" width="0" style="75" hidden="1" customWidth="1"/>
    <col min="3847" max="3847" width="23.28515625" style="75" customWidth="1"/>
    <col min="3848" max="3848" width="11.5703125" style="75" bestFit="1" customWidth="1"/>
    <col min="3849" max="4091" width="9.140625" style="75"/>
    <col min="4092" max="4092" width="70.28515625" style="75" customWidth="1"/>
    <col min="4093" max="4093" width="10.85546875" style="75" customWidth="1"/>
    <col min="4094" max="4096" width="8.5703125" style="75" customWidth="1"/>
    <col min="4097" max="4097" width="9.5703125" style="75" customWidth="1"/>
    <col min="4098" max="4098" width="8.7109375" style="75" customWidth="1"/>
    <col min="4099" max="4099" width="8" style="75" customWidth="1"/>
    <col min="4100" max="4101" width="7.42578125" style="75" customWidth="1"/>
    <col min="4102" max="4102" width="0" style="75" hidden="1" customWidth="1"/>
    <col min="4103" max="4103" width="23.28515625" style="75" customWidth="1"/>
    <col min="4104" max="4104" width="11.5703125" style="75" bestFit="1" customWidth="1"/>
    <col min="4105" max="4347" width="9.140625" style="75"/>
    <col min="4348" max="4348" width="70.28515625" style="75" customWidth="1"/>
    <col min="4349" max="4349" width="10.85546875" style="75" customWidth="1"/>
    <col min="4350" max="4352" width="8.5703125" style="75" customWidth="1"/>
    <col min="4353" max="4353" width="9.5703125" style="75" customWidth="1"/>
    <col min="4354" max="4354" width="8.7109375" style="75" customWidth="1"/>
    <col min="4355" max="4355" width="8" style="75" customWidth="1"/>
    <col min="4356" max="4357" width="7.42578125" style="75" customWidth="1"/>
    <col min="4358" max="4358" width="0" style="75" hidden="1" customWidth="1"/>
    <col min="4359" max="4359" width="23.28515625" style="75" customWidth="1"/>
    <col min="4360" max="4360" width="11.5703125" style="75" bestFit="1" customWidth="1"/>
    <col min="4361" max="4603" width="9.140625" style="75"/>
    <col min="4604" max="4604" width="70.28515625" style="75" customWidth="1"/>
    <col min="4605" max="4605" width="10.85546875" style="75" customWidth="1"/>
    <col min="4606" max="4608" width="8.5703125" style="75" customWidth="1"/>
    <col min="4609" max="4609" width="9.5703125" style="75" customWidth="1"/>
    <col min="4610" max="4610" width="8.7109375" style="75" customWidth="1"/>
    <col min="4611" max="4611" width="8" style="75" customWidth="1"/>
    <col min="4612" max="4613" width="7.42578125" style="75" customWidth="1"/>
    <col min="4614" max="4614" width="0" style="75" hidden="1" customWidth="1"/>
    <col min="4615" max="4615" width="23.28515625" style="75" customWidth="1"/>
    <col min="4616" max="4616" width="11.5703125" style="75" bestFit="1" customWidth="1"/>
    <col min="4617" max="4859" width="9.140625" style="75"/>
    <col min="4860" max="4860" width="70.28515625" style="75" customWidth="1"/>
    <col min="4861" max="4861" width="10.85546875" style="75" customWidth="1"/>
    <col min="4862" max="4864" width="8.5703125" style="75" customWidth="1"/>
    <col min="4865" max="4865" width="9.5703125" style="75" customWidth="1"/>
    <col min="4866" max="4866" width="8.7109375" style="75" customWidth="1"/>
    <col min="4867" max="4867" width="8" style="75" customWidth="1"/>
    <col min="4868" max="4869" width="7.42578125" style="75" customWidth="1"/>
    <col min="4870" max="4870" width="0" style="75" hidden="1" customWidth="1"/>
    <col min="4871" max="4871" width="23.28515625" style="75" customWidth="1"/>
    <col min="4872" max="4872" width="11.5703125" style="75" bestFit="1" customWidth="1"/>
    <col min="4873" max="5115" width="9.140625" style="75"/>
    <col min="5116" max="5116" width="70.28515625" style="75" customWidth="1"/>
    <col min="5117" max="5117" width="10.85546875" style="75" customWidth="1"/>
    <col min="5118" max="5120" width="8.5703125" style="75" customWidth="1"/>
    <col min="5121" max="5121" width="9.5703125" style="75" customWidth="1"/>
    <col min="5122" max="5122" width="8.7109375" style="75" customWidth="1"/>
    <col min="5123" max="5123" width="8" style="75" customWidth="1"/>
    <col min="5124" max="5125" width="7.42578125" style="75" customWidth="1"/>
    <col min="5126" max="5126" width="0" style="75" hidden="1" customWidth="1"/>
    <col min="5127" max="5127" width="23.28515625" style="75" customWidth="1"/>
    <col min="5128" max="5128" width="11.5703125" style="75" bestFit="1" customWidth="1"/>
    <col min="5129" max="5371" width="9.140625" style="75"/>
    <col min="5372" max="5372" width="70.28515625" style="75" customWidth="1"/>
    <col min="5373" max="5373" width="10.85546875" style="75" customWidth="1"/>
    <col min="5374" max="5376" width="8.5703125" style="75" customWidth="1"/>
    <col min="5377" max="5377" width="9.5703125" style="75" customWidth="1"/>
    <col min="5378" max="5378" width="8.7109375" style="75" customWidth="1"/>
    <col min="5379" max="5379" width="8" style="75" customWidth="1"/>
    <col min="5380" max="5381" width="7.42578125" style="75" customWidth="1"/>
    <col min="5382" max="5382" width="0" style="75" hidden="1" customWidth="1"/>
    <col min="5383" max="5383" width="23.28515625" style="75" customWidth="1"/>
    <col min="5384" max="5384" width="11.5703125" style="75" bestFit="1" customWidth="1"/>
    <col min="5385" max="5627" width="9.140625" style="75"/>
    <col min="5628" max="5628" width="70.28515625" style="75" customWidth="1"/>
    <col min="5629" max="5629" width="10.85546875" style="75" customWidth="1"/>
    <col min="5630" max="5632" width="8.5703125" style="75" customWidth="1"/>
    <col min="5633" max="5633" width="9.5703125" style="75" customWidth="1"/>
    <col min="5634" max="5634" width="8.7109375" style="75" customWidth="1"/>
    <col min="5635" max="5635" width="8" style="75" customWidth="1"/>
    <col min="5636" max="5637" width="7.42578125" style="75" customWidth="1"/>
    <col min="5638" max="5638" width="0" style="75" hidden="1" customWidth="1"/>
    <col min="5639" max="5639" width="23.28515625" style="75" customWidth="1"/>
    <col min="5640" max="5640" width="11.5703125" style="75" bestFit="1" customWidth="1"/>
    <col min="5641" max="5883" width="9.140625" style="75"/>
    <col min="5884" max="5884" width="70.28515625" style="75" customWidth="1"/>
    <col min="5885" max="5885" width="10.85546875" style="75" customWidth="1"/>
    <col min="5886" max="5888" width="8.5703125" style="75" customWidth="1"/>
    <col min="5889" max="5889" width="9.5703125" style="75" customWidth="1"/>
    <col min="5890" max="5890" width="8.7109375" style="75" customWidth="1"/>
    <col min="5891" max="5891" width="8" style="75" customWidth="1"/>
    <col min="5892" max="5893" width="7.42578125" style="75" customWidth="1"/>
    <col min="5894" max="5894" width="0" style="75" hidden="1" customWidth="1"/>
    <col min="5895" max="5895" width="23.28515625" style="75" customWidth="1"/>
    <col min="5896" max="5896" width="11.5703125" style="75" bestFit="1" customWidth="1"/>
    <col min="5897" max="6139" width="9.140625" style="75"/>
    <col min="6140" max="6140" width="70.28515625" style="75" customWidth="1"/>
    <col min="6141" max="6141" width="10.85546875" style="75" customWidth="1"/>
    <col min="6142" max="6144" width="8.5703125" style="75" customWidth="1"/>
    <col min="6145" max="6145" width="9.5703125" style="75" customWidth="1"/>
    <col min="6146" max="6146" width="8.7109375" style="75" customWidth="1"/>
    <col min="6147" max="6147" width="8" style="75" customWidth="1"/>
    <col min="6148" max="6149" width="7.42578125" style="75" customWidth="1"/>
    <col min="6150" max="6150" width="0" style="75" hidden="1" customWidth="1"/>
    <col min="6151" max="6151" width="23.28515625" style="75" customWidth="1"/>
    <col min="6152" max="6152" width="11.5703125" style="75" bestFit="1" customWidth="1"/>
    <col min="6153" max="6395" width="9.140625" style="75"/>
    <col min="6396" max="6396" width="70.28515625" style="75" customWidth="1"/>
    <col min="6397" max="6397" width="10.85546875" style="75" customWidth="1"/>
    <col min="6398" max="6400" width="8.5703125" style="75" customWidth="1"/>
    <col min="6401" max="6401" width="9.5703125" style="75" customWidth="1"/>
    <col min="6402" max="6402" width="8.7109375" style="75" customWidth="1"/>
    <col min="6403" max="6403" width="8" style="75" customWidth="1"/>
    <col min="6404" max="6405" width="7.42578125" style="75" customWidth="1"/>
    <col min="6406" max="6406" width="0" style="75" hidden="1" customWidth="1"/>
    <col min="6407" max="6407" width="23.28515625" style="75" customWidth="1"/>
    <col min="6408" max="6408" width="11.5703125" style="75" bestFit="1" customWidth="1"/>
    <col min="6409" max="6651" width="9.140625" style="75"/>
    <col min="6652" max="6652" width="70.28515625" style="75" customWidth="1"/>
    <col min="6653" max="6653" width="10.85546875" style="75" customWidth="1"/>
    <col min="6654" max="6656" width="8.5703125" style="75" customWidth="1"/>
    <col min="6657" max="6657" width="9.5703125" style="75" customWidth="1"/>
    <col min="6658" max="6658" width="8.7109375" style="75" customWidth="1"/>
    <col min="6659" max="6659" width="8" style="75" customWidth="1"/>
    <col min="6660" max="6661" width="7.42578125" style="75" customWidth="1"/>
    <col min="6662" max="6662" width="0" style="75" hidden="1" customWidth="1"/>
    <col min="6663" max="6663" width="23.28515625" style="75" customWidth="1"/>
    <col min="6664" max="6664" width="11.5703125" style="75" bestFit="1" customWidth="1"/>
    <col min="6665" max="6907" width="9.140625" style="75"/>
    <col min="6908" max="6908" width="70.28515625" style="75" customWidth="1"/>
    <col min="6909" max="6909" width="10.85546875" style="75" customWidth="1"/>
    <col min="6910" max="6912" width="8.5703125" style="75" customWidth="1"/>
    <col min="6913" max="6913" width="9.5703125" style="75" customWidth="1"/>
    <col min="6914" max="6914" width="8.7109375" style="75" customWidth="1"/>
    <col min="6915" max="6915" width="8" style="75" customWidth="1"/>
    <col min="6916" max="6917" width="7.42578125" style="75" customWidth="1"/>
    <col min="6918" max="6918" width="0" style="75" hidden="1" customWidth="1"/>
    <col min="6919" max="6919" width="23.28515625" style="75" customWidth="1"/>
    <col min="6920" max="6920" width="11.5703125" style="75" bestFit="1" customWidth="1"/>
    <col min="6921" max="7163" width="9.140625" style="75"/>
    <col min="7164" max="7164" width="70.28515625" style="75" customWidth="1"/>
    <col min="7165" max="7165" width="10.85546875" style="75" customWidth="1"/>
    <col min="7166" max="7168" width="8.5703125" style="75" customWidth="1"/>
    <col min="7169" max="7169" width="9.5703125" style="75" customWidth="1"/>
    <col min="7170" max="7170" width="8.7109375" style="75" customWidth="1"/>
    <col min="7171" max="7171" width="8" style="75" customWidth="1"/>
    <col min="7172" max="7173" width="7.42578125" style="75" customWidth="1"/>
    <col min="7174" max="7174" width="0" style="75" hidden="1" customWidth="1"/>
    <col min="7175" max="7175" width="23.28515625" style="75" customWidth="1"/>
    <col min="7176" max="7176" width="11.5703125" style="75" bestFit="1" customWidth="1"/>
    <col min="7177" max="7419" width="9.140625" style="75"/>
    <col min="7420" max="7420" width="70.28515625" style="75" customWidth="1"/>
    <col min="7421" max="7421" width="10.85546875" style="75" customWidth="1"/>
    <col min="7422" max="7424" width="8.5703125" style="75" customWidth="1"/>
    <col min="7425" max="7425" width="9.5703125" style="75" customWidth="1"/>
    <col min="7426" max="7426" width="8.7109375" style="75" customWidth="1"/>
    <col min="7427" max="7427" width="8" style="75" customWidth="1"/>
    <col min="7428" max="7429" width="7.42578125" style="75" customWidth="1"/>
    <col min="7430" max="7430" width="0" style="75" hidden="1" customWidth="1"/>
    <col min="7431" max="7431" width="23.28515625" style="75" customWidth="1"/>
    <col min="7432" max="7432" width="11.5703125" style="75" bestFit="1" customWidth="1"/>
    <col min="7433" max="7675" width="9.140625" style="75"/>
    <col min="7676" max="7676" width="70.28515625" style="75" customWidth="1"/>
    <col min="7677" max="7677" width="10.85546875" style="75" customWidth="1"/>
    <col min="7678" max="7680" width="8.5703125" style="75" customWidth="1"/>
    <col min="7681" max="7681" width="9.5703125" style="75" customWidth="1"/>
    <col min="7682" max="7682" width="8.7109375" style="75" customWidth="1"/>
    <col min="7683" max="7683" width="8" style="75" customWidth="1"/>
    <col min="7684" max="7685" width="7.42578125" style="75" customWidth="1"/>
    <col min="7686" max="7686" width="0" style="75" hidden="1" customWidth="1"/>
    <col min="7687" max="7687" width="23.28515625" style="75" customWidth="1"/>
    <col min="7688" max="7688" width="11.5703125" style="75" bestFit="1" customWidth="1"/>
    <col min="7689" max="7931" width="9.140625" style="75"/>
    <col min="7932" max="7932" width="70.28515625" style="75" customWidth="1"/>
    <col min="7933" max="7933" width="10.85546875" style="75" customWidth="1"/>
    <col min="7934" max="7936" width="8.5703125" style="75" customWidth="1"/>
    <col min="7937" max="7937" width="9.5703125" style="75" customWidth="1"/>
    <col min="7938" max="7938" width="8.7109375" style="75" customWidth="1"/>
    <col min="7939" max="7939" width="8" style="75" customWidth="1"/>
    <col min="7940" max="7941" width="7.42578125" style="75" customWidth="1"/>
    <col min="7942" max="7942" width="0" style="75" hidden="1" customWidth="1"/>
    <col min="7943" max="7943" width="23.28515625" style="75" customWidth="1"/>
    <col min="7944" max="7944" width="11.5703125" style="75" bestFit="1" customWidth="1"/>
    <col min="7945" max="8187" width="9.140625" style="75"/>
    <col min="8188" max="8188" width="70.28515625" style="75" customWidth="1"/>
    <col min="8189" max="8189" width="10.85546875" style="75" customWidth="1"/>
    <col min="8190" max="8192" width="8.5703125" style="75" customWidth="1"/>
    <col min="8193" max="8193" width="9.5703125" style="75" customWidth="1"/>
    <col min="8194" max="8194" width="8.7109375" style="75" customWidth="1"/>
    <col min="8195" max="8195" width="8" style="75" customWidth="1"/>
    <col min="8196" max="8197" width="7.42578125" style="75" customWidth="1"/>
    <col min="8198" max="8198" width="0" style="75" hidden="1" customWidth="1"/>
    <col min="8199" max="8199" width="23.28515625" style="75" customWidth="1"/>
    <col min="8200" max="8200" width="11.5703125" style="75" bestFit="1" customWidth="1"/>
    <col min="8201" max="8443" width="9.140625" style="75"/>
    <col min="8444" max="8444" width="70.28515625" style="75" customWidth="1"/>
    <col min="8445" max="8445" width="10.85546875" style="75" customWidth="1"/>
    <col min="8446" max="8448" width="8.5703125" style="75" customWidth="1"/>
    <col min="8449" max="8449" width="9.5703125" style="75" customWidth="1"/>
    <col min="8450" max="8450" width="8.7109375" style="75" customWidth="1"/>
    <col min="8451" max="8451" width="8" style="75" customWidth="1"/>
    <col min="8452" max="8453" width="7.42578125" style="75" customWidth="1"/>
    <col min="8454" max="8454" width="0" style="75" hidden="1" customWidth="1"/>
    <col min="8455" max="8455" width="23.28515625" style="75" customWidth="1"/>
    <col min="8456" max="8456" width="11.5703125" style="75" bestFit="1" customWidth="1"/>
    <col min="8457" max="8699" width="9.140625" style="75"/>
    <col min="8700" max="8700" width="70.28515625" style="75" customWidth="1"/>
    <col min="8701" max="8701" width="10.85546875" style="75" customWidth="1"/>
    <col min="8702" max="8704" width="8.5703125" style="75" customWidth="1"/>
    <col min="8705" max="8705" width="9.5703125" style="75" customWidth="1"/>
    <col min="8706" max="8706" width="8.7109375" style="75" customWidth="1"/>
    <col min="8707" max="8707" width="8" style="75" customWidth="1"/>
    <col min="8708" max="8709" width="7.42578125" style="75" customWidth="1"/>
    <col min="8710" max="8710" width="0" style="75" hidden="1" customWidth="1"/>
    <col min="8711" max="8711" width="23.28515625" style="75" customWidth="1"/>
    <col min="8712" max="8712" width="11.5703125" style="75" bestFit="1" customWidth="1"/>
    <col min="8713" max="8955" width="9.140625" style="75"/>
    <col min="8956" max="8956" width="70.28515625" style="75" customWidth="1"/>
    <col min="8957" max="8957" width="10.85546875" style="75" customWidth="1"/>
    <col min="8958" max="8960" width="8.5703125" style="75" customWidth="1"/>
    <col min="8961" max="8961" width="9.5703125" style="75" customWidth="1"/>
    <col min="8962" max="8962" width="8.7109375" style="75" customWidth="1"/>
    <col min="8963" max="8963" width="8" style="75" customWidth="1"/>
    <col min="8964" max="8965" width="7.42578125" style="75" customWidth="1"/>
    <col min="8966" max="8966" width="0" style="75" hidden="1" customWidth="1"/>
    <col min="8967" max="8967" width="23.28515625" style="75" customWidth="1"/>
    <col min="8968" max="8968" width="11.5703125" style="75" bestFit="1" customWidth="1"/>
    <col min="8969" max="9211" width="9.140625" style="75"/>
    <col min="9212" max="9212" width="70.28515625" style="75" customWidth="1"/>
    <col min="9213" max="9213" width="10.85546875" style="75" customWidth="1"/>
    <col min="9214" max="9216" width="8.5703125" style="75" customWidth="1"/>
    <col min="9217" max="9217" width="9.5703125" style="75" customWidth="1"/>
    <col min="9218" max="9218" width="8.7109375" style="75" customWidth="1"/>
    <col min="9219" max="9219" width="8" style="75" customWidth="1"/>
    <col min="9220" max="9221" width="7.42578125" style="75" customWidth="1"/>
    <col min="9222" max="9222" width="0" style="75" hidden="1" customWidth="1"/>
    <col min="9223" max="9223" width="23.28515625" style="75" customWidth="1"/>
    <col min="9224" max="9224" width="11.5703125" style="75" bestFit="1" customWidth="1"/>
    <col min="9225" max="9467" width="9.140625" style="75"/>
    <col min="9468" max="9468" width="70.28515625" style="75" customWidth="1"/>
    <col min="9469" max="9469" width="10.85546875" style="75" customWidth="1"/>
    <col min="9470" max="9472" width="8.5703125" style="75" customWidth="1"/>
    <col min="9473" max="9473" width="9.5703125" style="75" customWidth="1"/>
    <col min="9474" max="9474" width="8.7109375" style="75" customWidth="1"/>
    <col min="9475" max="9475" width="8" style="75" customWidth="1"/>
    <col min="9476" max="9477" width="7.42578125" style="75" customWidth="1"/>
    <col min="9478" max="9478" width="0" style="75" hidden="1" customWidth="1"/>
    <col min="9479" max="9479" width="23.28515625" style="75" customWidth="1"/>
    <col min="9480" max="9480" width="11.5703125" style="75" bestFit="1" customWidth="1"/>
    <col min="9481" max="9723" width="9.140625" style="75"/>
    <col min="9724" max="9724" width="70.28515625" style="75" customWidth="1"/>
    <col min="9725" max="9725" width="10.85546875" style="75" customWidth="1"/>
    <col min="9726" max="9728" width="8.5703125" style="75" customWidth="1"/>
    <col min="9729" max="9729" width="9.5703125" style="75" customWidth="1"/>
    <col min="9730" max="9730" width="8.7109375" style="75" customWidth="1"/>
    <col min="9731" max="9731" width="8" style="75" customWidth="1"/>
    <col min="9732" max="9733" width="7.42578125" style="75" customWidth="1"/>
    <col min="9734" max="9734" width="0" style="75" hidden="1" customWidth="1"/>
    <col min="9735" max="9735" width="23.28515625" style="75" customWidth="1"/>
    <col min="9736" max="9736" width="11.5703125" style="75" bestFit="1" customWidth="1"/>
    <col min="9737" max="9979" width="9.140625" style="75"/>
    <col min="9980" max="9980" width="70.28515625" style="75" customWidth="1"/>
    <col min="9981" max="9981" width="10.85546875" style="75" customWidth="1"/>
    <col min="9982" max="9984" width="8.5703125" style="75" customWidth="1"/>
    <col min="9985" max="9985" width="9.5703125" style="75" customWidth="1"/>
    <col min="9986" max="9986" width="8.7109375" style="75" customWidth="1"/>
    <col min="9987" max="9987" width="8" style="75" customWidth="1"/>
    <col min="9988" max="9989" width="7.42578125" style="75" customWidth="1"/>
    <col min="9990" max="9990" width="0" style="75" hidden="1" customWidth="1"/>
    <col min="9991" max="9991" width="23.28515625" style="75" customWidth="1"/>
    <col min="9992" max="9992" width="11.5703125" style="75" bestFit="1" customWidth="1"/>
    <col min="9993" max="10235" width="9.140625" style="75"/>
    <col min="10236" max="10236" width="70.28515625" style="75" customWidth="1"/>
    <col min="10237" max="10237" width="10.85546875" style="75" customWidth="1"/>
    <col min="10238" max="10240" width="8.5703125" style="75" customWidth="1"/>
    <col min="10241" max="10241" width="9.5703125" style="75" customWidth="1"/>
    <col min="10242" max="10242" width="8.7109375" style="75" customWidth="1"/>
    <col min="10243" max="10243" width="8" style="75" customWidth="1"/>
    <col min="10244" max="10245" width="7.42578125" style="75" customWidth="1"/>
    <col min="10246" max="10246" width="0" style="75" hidden="1" customWidth="1"/>
    <col min="10247" max="10247" width="23.28515625" style="75" customWidth="1"/>
    <col min="10248" max="10248" width="11.5703125" style="75" bestFit="1" customWidth="1"/>
    <col min="10249" max="10491" width="9.140625" style="75"/>
    <col min="10492" max="10492" width="70.28515625" style="75" customWidth="1"/>
    <col min="10493" max="10493" width="10.85546875" style="75" customWidth="1"/>
    <col min="10494" max="10496" width="8.5703125" style="75" customWidth="1"/>
    <col min="10497" max="10497" width="9.5703125" style="75" customWidth="1"/>
    <col min="10498" max="10498" width="8.7109375" style="75" customWidth="1"/>
    <col min="10499" max="10499" width="8" style="75" customWidth="1"/>
    <col min="10500" max="10501" width="7.42578125" style="75" customWidth="1"/>
    <col min="10502" max="10502" width="0" style="75" hidden="1" customWidth="1"/>
    <col min="10503" max="10503" width="23.28515625" style="75" customWidth="1"/>
    <col min="10504" max="10504" width="11.5703125" style="75" bestFit="1" customWidth="1"/>
    <col min="10505" max="10747" width="9.140625" style="75"/>
    <col min="10748" max="10748" width="70.28515625" style="75" customWidth="1"/>
    <col min="10749" max="10749" width="10.85546875" style="75" customWidth="1"/>
    <col min="10750" max="10752" width="8.5703125" style="75" customWidth="1"/>
    <col min="10753" max="10753" width="9.5703125" style="75" customWidth="1"/>
    <col min="10754" max="10754" width="8.7109375" style="75" customWidth="1"/>
    <col min="10755" max="10755" width="8" style="75" customWidth="1"/>
    <col min="10756" max="10757" width="7.42578125" style="75" customWidth="1"/>
    <col min="10758" max="10758" width="0" style="75" hidden="1" customWidth="1"/>
    <col min="10759" max="10759" width="23.28515625" style="75" customWidth="1"/>
    <col min="10760" max="10760" width="11.5703125" style="75" bestFit="1" customWidth="1"/>
    <col min="10761" max="11003" width="9.140625" style="75"/>
    <col min="11004" max="11004" width="70.28515625" style="75" customWidth="1"/>
    <col min="11005" max="11005" width="10.85546875" style="75" customWidth="1"/>
    <col min="11006" max="11008" width="8.5703125" style="75" customWidth="1"/>
    <col min="11009" max="11009" width="9.5703125" style="75" customWidth="1"/>
    <col min="11010" max="11010" width="8.7109375" style="75" customWidth="1"/>
    <col min="11011" max="11011" width="8" style="75" customWidth="1"/>
    <col min="11012" max="11013" width="7.42578125" style="75" customWidth="1"/>
    <col min="11014" max="11014" width="0" style="75" hidden="1" customWidth="1"/>
    <col min="11015" max="11015" width="23.28515625" style="75" customWidth="1"/>
    <col min="11016" max="11016" width="11.5703125" style="75" bestFit="1" customWidth="1"/>
    <col min="11017" max="11259" width="9.140625" style="75"/>
    <col min="11260" max="11260" width="70.28515625" style="75" customWidth="1"/>
    <col min="11261" max="11261" width="10.85546875" style="75" customWidth="1"/>
    <col min="11262" max="11264" width="8.5703125" style="75" customWidth="1"/>
    <col min="11265" max="11265" width="9.5703125" style="75" customWidth="1"/>
    <col min="11266" max="11266" width="8.7109375" style="75" customWidth="1"/>
    <col min="11267" max="11267" width="8" style="75" customWidth="1"/>
    <col min="11268" max="11269" width="7.42578125" style="75" customWidth="1"/>
    <col min="11270" max="11270" width="0" style="75" hidden="1" customWidth="1"/>
    <col min="11271" max="11271" width="23.28515625" style="75" customWidth="1"/>
    <col min="11272" max="11272" width="11.5703125" style="75" bestFit="1" customWidth="1"/>
    <col min="11273" max="11515" width="9.140625" style="75"/>
    <col min="11516" max="11516" width="70.28515625" style="75" customWidth="1"/>
    <col min="11517" max="11517" width="10.85546875" style="75" customWidth="1"/>
    <col min="11518" max="11520" width="8.5703125" style="75" customWidth="1"/>
    <col min="11521" max="11521" width="9.5703125" style="75" customWidth="1"/>
    <col min="11522" max="11522" width="8.7109375" style="75" customWidth="1"/>
    <col min="11523" max="11523" width="8" style="75" customWidth="1"/>
    <col min="11524" max="11525" width="7.42578125" style="75" customWidth="1"/>
    <col min="11526" max="11526" width="0" style="75" hidden="1" customWidth="1"/>
    <col min="11527" max="11527" width="23.28515625" style="75" customWidth="1"/>
    <col min="11528" max="11528" width="11.5703125" style="75" bestFit="1" customWidth="1"/>
    <col min="11529" max="11771" width="9.140625" style="75"/>
    <col min="11772" max="11772" width="70.28515625" style="75" customWidth="1"/>
    <col min="11773" max="11773" width="10.85546875" style="75" customWidth="1"/>
    <col min="11774" max="11776" width="8.5703125" style="75" customWidth="1"/>
    <col min="11777" max="11777" width="9.5703125" style="75" customWidth="1"/>
    <col min="11778" max="11778" width="8.7109375" style="75" customWidth="1"/>
    <col min="11779" max="11779" width="8" style="75" customWidth="1"/>
    <col min="11780" max="11781" width="7.42578125" style="75" customWidth="1"/>
    <col min="11782" max="11782" width="0" style="75" hidden="1" customWidth="1"/>
    <col min="11783" max="11783" width="23.28515625" style="75" customWidth="1"/>
    <col min="11784" max="11784" width="11.5703125" style="75" bestFit="1" customWidth="1"/>
    <col min="11785" max="12027" width="9.140625" style="75"/>
    <col min="12028" max="12028" width="70.28515625" style="75" customWidth="1"/>
    <col min="12029" max="12029" width="10.85546875" style="75" customWidth="1"/>
    <col min="12030" max="12032" width="8.5703125" style="75" customWidth="1"/>
    <col min="12033" max="12033" width="9.5703125" style="75" customWidth="1"/>
    <col min="12034" max="12034" width="8.7109375" style="75" customWidth="1"/>
    <col min="12035" max="12035" width="8" style="75" customWidth="1"/>
    <col min="12036" max="12037" width="7.42578125" style="75" customWidth="1"/>
    <col min="12038" max="12038" width="0" style="75" hidden="1" customWidth="1"/>
    <col min="12039" max="12039" width="23.28515625" style="75" customWidth="1"/>
    <col min="12040" max="12040" width="11.5703125" style="75" bestFit="1" customWidth="1"/>
    <col min="12041" max="12283" width="9.140625" style="75"/>
    <col min="12284" max="12284" width="70.28515625" style="75" customWidth="1"/>
    <col min="12285" max="12285" width="10.85546875" style="75" customWidth="1"/>
    <col min="12286" max="12288" width="8.5703125" style="75" customWidth="1"/>
    <col min="12289" max="12289" width="9.5703125" style="75" customWidth="1"/>
    <col min="12290" max="12290" width="8.7109375" style="75" customWidth="1"/>
    <col min="12291" max="12291" width="8" style="75" customWidth="1"/>
    <col min="12292" max="12293" width="7.42578125" style="75" customWidth="1"/>
    <col min="12294" max="12294" width="0" style="75" hidden="1" customWidth="1"/>
    <col min="12295" max="12295" width="23.28515625" style="75" customWidth="1"/>
    <col min="12296" max="12296" width="11.5703125" style="75" bestFit="1" customWidth="1"/>
    <col min="12297" max="12539" width="9.140625" style="75"/>
    <col min="12540" max="12540" width="70.28515625" style="75" customWidth="1"/>
    <col min="12541" max="12541" width="10.85546875" style="75" customWidth="1"/>
    <col min="12542" max="12544" width="8.5703125" style="75" customWidth="1"/>
    <col min="12545" max="12545" width="9.5703125" style="75" customWidth="1"/>
    <col min="12546" max="12546" width="8.7109375" style="75" customWidth="1"/>
    <col min="12547" max="12547" width="8" style="75" customWidth="1"/>
    <col min="12548" max="12549" width="7.42578125" style="75" customWidth="1"/>
    <col min="12550" max="12550" width="0" style="75" hidden="1" customWidth="1"/>
    <col min="12551" max="12551" width="23.28515625" style="75" customWidth="1"/>
    <col min="12552" max="12552" width="11.5703125" style="75" bestFit="1" customWidth="1"/>
    <col min="12553" max="12795" width="9.140625" style="75"/>
    <col min="12796" max="12796" width="70.28515625" style="75" customWidth="1"/>
    <col min="12797" max="12797" width="10.85546875" style="75" customWidth="1"/>
    <col min="12798" max="12800" width="8.5703125" style="75" customWidth="1"/>
    <col min="12801" max="12801" width="9.5703125" style="75" customWidth="1"/>
    <col min="12802" max="12802" width="8.7109375" style="75" customWidth="1"/>
    <col min="12803" max="12803" width="8" style="75" customWidth="1"/>
    <col min="12804" max="12805" width="7.42578125" style="75" customWidth="1"/>
    <col min="12806" max="12806" width="0" style="75" hidden="1" customWidth="1"/>
    <col min="12807" max="12807" width="23.28515625" style="75" customWidth="1"/>
    <col min="12808" max="12808" width="11.5703125" style="75" bestFit="1" customWidth="1"/>
    <col min="12809" max="13051" width="9.140625" style="75"/>
    <col min="13052" max="13052" width="70.28515625" style="75" customWidth="1"/>
    <col min="13053" max="13053" width="10.85546875" style="75" customWidth="1"/>
    <col min="13054" max="13056" width="8.5703125" style="75" customWidth="1"/>
    <col min="13057" max="13057" width="9.5703125" style="75" customWidth="1"/>
    <col min="13058" max="13058" width="8.7109375" style="75" customWidth="1"/>
    <col min="13059" max="13059" width="8" style="75" customWidth="1"/>
    <col min="13060" max="13061" width="7.42578125" style="75" customWidth="1"/>
    <col min="13062" max="13062" width="0" style="75" hidden="1" customWidth="1"/>
    <col min="13063" max="13063" width="23.28515625" style="75" customWidth="1"/>
    <col min="13064" max="13064" width="11.5703125" style="75" bestFit="1" customWidth="1"/>
    <col min="13065" max="13307" width="9.140625" style="75"/>
    <col min="13308" max="13308" width="70.28515625" style="75" customWidth="1"/>
    <col min="13309" max="13309" width="10.85546875" style="75" customWidth="1"/>
    <col min="13310" max="13312" width="8.5703125" style="75" customWidth="1"/>
    <col min="13313" max="13313" width="9.5703125" style="75" customWidth="1"/>
    <col min="13314" max="13314" width="8.7109375" style="75" customWidth="1"/>
    <col min="13315" max="13315" width="8" style="75" customWidth="1"/>
    <col min="13316" max="13317" width="7.42578125" style="75" customWidth="1"/>
    <col min="13318" max="13318" width="0" style="75" hidden="1" customWidth="1"/>
    <col min="13319" max="13319" width="23.28515625" style="75" customWidth="1"/>
    <col min="13320" max="13320" width="11.5703125" style="75" bestFit="1" customWidth="1"/>
    <col min="13321" max="13563" width="9.140625" style="75"/>
    <col min="13564" max="13564" width="70.28515625" style="75" customWidth="1"/>
    <col min="13565" max="13565" width="10.85546875" style="75" customWidth="1"/>
    <col min="13566" max="13568" width="8.5703125" style="75" customWidth="1"/>
    <col min="13569" max="13569" width="9.5703125" style="75" customWidth="1"/>
    <col min="13570" max="13570" width="8.7109375" style="75" customWidth="1"/>
    <col min="13571" max="13571" width="8" style="75" customWidth="1"/>
    <col min="13572" max="13573" width="7.42578125" style="75" customWidth="1"/>
    <col min="13574" max="13574" width="0" style="75" hidden="1" customWidth="1"/>
    <col min="13575" max="13575" width="23.28515625" style="75" customWidth="1"/>
    <col min="13576" max="13576" width="11.5703125" style="75" bestFit="1" customWidth="1"/>
    <col min="13577" max="13819" width="9.140625" style="75"/>
    <col min="13820" max="13820" width="70.28515625" style="75" customWidth="1"/>
    <col min="13821" max="13821" width="10.85546875" style="75" customWidth="1"/>
    <col min="13822" max="13824" width="8.5703125" style="75" customWidth="1"/>
    <col min="13825" max="13825" width="9.5703125" style="75" customWidth="1"/>
    <col min="13826" max="13826" width="8.7109375" style="75" customWidth="1"/>
    <col min="13827" max="13827" width="8" style="75" customWidth="1"/>
    <col min="13828" max="13829" width="7.42578125" style="75" customWidth="1"/>
    <col min="13830" max="13830" width="0" style="75" hidden="1" customWidth="1"/>
    <col min="13831" max="13831" width="23.28515625" style="75" customWidth="1"/>
    <col min="13832" max="13832" width="11.5703125" style="75" bestFit="1" customWidth="1"/>
    <col min="13833" max="14075" width="9.140625" style="75"/>
    <col min="14076" max="14076" width="70.28515625" style="75" customWidth="1"/>
    <col min="14077" max="14077" width="10.85546875" style="75" customWidth="1"/>
    <col min="14078" max="14080" width="8.5703125" style="75" customWidth="1"/>
    <col min="14081" max="14081" width="9.5703125" style="75" customWidth="1"/>
    <col min="14082" max="14082" width="8.7109375" style="75" customWidth="1"/>
    <col min="14083" max="14083" width="8" style="75" customWidth="1"/>
    <col min="14084" max="14085" width="7.42578125" style="75" customWidth="1"/>
    <col min="14086" max="14086" width="0" style="75" hidden="1" customWidth="1"/>
    <col min="14087" max="14087" width="23.28515625" style="75" customWidth="1"/>
    <col min="14088" max="14088" width="11.5703125" style="75" bestFit="1" customWidth="1"/>
    <col min="14089" max="14331" width="9.140625" style="75"/>
    <col min="14332" max="14332" width="70.28515625" style="75" customWidth="1"/>
    <col min="14333" max="14333" width="10.85546875" style="75" customWidth="1"/>
    <col min="14334" max="14336" width="8.5703125" style="75" customWidth="1"/>
    <col min="14337" max="14337" width="9.5703125" style="75" customWidth="1"/>
    <col min="14338" max="14338" width="8.7109375" style="75" customWidth="1"/>
    <col min="14339" max="14339" width="8" style="75" customWidth="1"/>
    <col min="14340" max="14341" width="7.42578125" style="75" customWidth="1"/>
    <col min="14342" max="14342" width="0" style="75" hidden="1" customWidth="1"/>
    <col min="14343" max="14343" width="23.28515625" style="75" customWidth="1"/>
    <col min="14344" max="14344" width="11.5703125" style="75" bestFit="1" customWidth="1"/>
    <col min="14345" max="14587" width="9.140625" style="75"/>
    <col min="14588" max="14588" width="70.28515625" style="75" customWidth="1"/>
    <col min="14589" max="14589" width="10.85546875" style="75" customWidth="1"/>
    <col min="14590" max="14592" width="8.5703125" style="75" customWidth="1"/>
    <col min="14593" max="14593" width="9.5703125" style="75" customWidth="1"/>
    <col min="14594" max="14594" width="8.7109375" style="75" customWidth="1"/>
    <col min="14595" max="14595" width="8" style="75" customWidth="1"/>
    <col min="14596" max="14597" width="7.42578125" style="75" customWidth="1"/>
    <col min="14598" max="14598" width="0" style="75" hidden="1" customWidth="1"/>
    <col min="14599" max="14599" width="23.28515625" style="75" customWidth="1"/>
    <col min="14600" max="14600" width="11.5703125" style="75" bestFit="1" customWidth="1"/>
    <col min="14601" max="14843" width="9.140625" style="75"/>
    <col min="14844" max="14844" width="70.28515625" style="75" customWidth="1"/>
    <col min="14845" max="14845" width="10.85546875" style="75" customWidth="1"/>
    <col min="14846" max="14848" width="8.5703125" style="75" customWidth="1"/>
    <col min="14849" max="14849" width="9.5703125" style="75" customWidth="1"/>
    <col min="14850" max="14850" width="8.7109375" style="75" customWidth="1"/>
    <col min="14851" max="14851" width="8" style="75" customWidth="1"/>
    <col min="14852" max="14853" width="7.42578125" style="75" customWidth="1"/>
    <col min="14854" max="14854" width="0" style="75" hidden="1" customWidth="1"/>
    <col min="14855" max="14855" width="23.28515625" style="75" customWidth="1"/>
    <col min="14856" max="14856" width="11.5703125" style="75" bestFit="1" customWidth="1"/>
    <col min="14857" max="15099" width="9.140625" style="75"/>
    <col min="15100" max="15100" width="70.28515625" style="75" customWidth="1"/>
    <col min="15101" max="15101" width="10.85546875" style="75" customWidth="1"/>
    <col min="15102" max="15104" width="8.5703125" style="75" customWidth="1"/>
    <col min="15105" max="15105" width="9.5703125" style="75" customWidth="1"/>
    <col min="15106" max="15106" width="8.7109375" style="75" customWidth="1"/>
    <col min="15107" max="15107" width="8" style="75" customWidth="1"/>
    <col min="15108" max="15109" width="7.42578125" style="75" customWidth="1"/>
    <col min="15110" max="15110" width="0" style="75" hidden="1" customWidth="1"/>
    <col min="15111" max="15111" width="23.28515625" style="75" customWidth="1"/>
    <col min="15112" max="15112" width="11.5703125" style="75" bestFit="1" customWidth="1"/>
    <col min="15113" max="15355" width="9.140625" style="75"/>
    <col min="15356" max="15356" width="70.28515625" style="75" customWidth="1"/>
    <col min="15357" max="15357" width="10.85546875" style="75" customWidth="1"/>
    <col min="15358" max="15360" width="8.5703125" style="75" customWidth="1"/>
    <col min="15361" max="15361" width="9.5703125" style="75" customWidth="1"/>
    <col min="15362" max="15362" width="8.7109375" style="75" customWidth="1"/>
    <col min="15363" max="15363" width="8" style="75" customWidth="1"/>
    <col min="15364" max="15365" width="7.42578125" style="75" customWidth="1"/>
    <col min="15366" max="15366" width="0" style="75" hidden="1" customWidth="1"/>
    <col min="15367" max="15367" width="23.28515625" style="75" customWidth="1"/>
    <col min="15368" max="15368" width="11.5703125" style="75" bestFit="1" customWidth="1"/>
    <col min="15369" max="15611" width="9.140625" style="75"/>
    <col min="15612" max="15612" width="70.28515625" style="75" customWidth="1"/>
    <col min="15613" max="15613" width="10.85546875" style="75" customWidth="1"/>
    <col min="15614" max="15616" width="8.5703125" style="75" customWidth="1"/>
    <col min="15617" max="15617" width="9.5703125" style="75" customWidth="1"/>
    <col min="15618" max="15618" width="8.7109375" style="75" customWidth="1"/>
    <col min="15619" max="15619" width="8" style="75" customWidth="1"/>
    <col min="15620" max="15621" width="7.42578125" style="75" customWidth="1"/>
    <col min="15622" max="15622" width="0" style="75" hidden="1" customWidth="1"/>
    <col min="15623" max="15623" width="23.28515625" style="75" customWidth="1"/>
    <col min="15624" max="15624" width="11.5703125" style="75" bestFit="1" customWidth="1"/>
    <col min="15625" max="15867" width="9.140625" style="75"/>
    <col min="15868" max="15868" width="70.28515625" style="75" customWidth="1"/>
    <col min="15869" max="15869" width="10.85546875" style="75" customWidth="1"/>
    <col min="15870" max="15872" width="8.5703125" style="75" customWidth="1"/>
    <col min="15873" max="15873" width="9.5703125" style="75" customWidth="1"/>
    <col min="15874" max="15874" width="8.7109375" style="75" customWidth="1"/>
    <col min="15875" max="15875" width="8" style="75" customWidth="1"/>
    <col min="15876" max="15877" width="7.42578125" style="75" customWidth="1"/>
    <col min="15878" max="15878" width="0" style="75" hidden="1" customWidth="1"/>
    <col min="15879" max="15879" width="23.28515625" style="75" customWidth="1"/>
    <col min="15880" max="15880" width="11.5703125" style="75" bestFit="1" customWidth="1"/>
    <col min="15881" max="16123" width="9.140625" style="75"/>
    <col min="16124" max="16124" width="70.28515625" style="75" customWidth="1"/>
    <col min="16125" max="16125" width="10.85546875" style="75" customWidth="1"/>
    <col min="16126" max="16128" width="8.5703125" style="75" customWidth="1"/>
    <col min="16129" max="16129" width="9.5703125" style="75" customWidth="1"/>
    <col min="16130" max="16130" width="8.7109375" style="75" customWidth="1"/>
    <col min="16131" max="16131" width="8" style="75" customWidth="1"/>
    <col min="16132" max="16133" width="7.42578125" style="75" customWidth="1"/>
    <col min="16134" max="16134" width="0" style="75" hidden="1" customWidth="1"/>
    <col min="16135" max="16135" width="23.28515625" style="75" customWidth="1"/>
    <col min="16136" max="16136" width="11.5703125" style="75" bestFit="1" customWidth="1"/>
    <col min="16137" max="16384" width="9.140625" style="75"/>
  </cols>
  <sheetData>
    <row r="1" spans="1:7" ht="32.25" customHeight="1" x14ac:dyDescent="0.25">
      <c r="A1" s="126" t="s">
        <v>195</v>
      </c>
      <c r="B1" s="126"/>
      <c r="C1" s="126"/>
      <c r="D1" s="126"/>
      <c r="E1" s="126"/>
      <c r="F1" s="126"/>
    </row>
    <row r="2" spans="1:7" ht="15.75" x14ac:dyDescent="0.25">
      <c r="A2" s="80"/>
      <c r="B2" s="80"/>
      <c r="C2" s="80"/>
      <c r="D2" s="80"/>
      <c r="E2" s="80"/>
      <c r="F2" s="81"/>
    </row>
    <row r="3" spans="1:7" s="82" customFormat="1" ht="12" x14ac:dyDescent="0.25">
      <c r="A3" s="114" t="s">
        <v>4</v>
      </c>
      <c r="B3" s="114" t="s">
        <v>5</v>
      </c>
      <c r="C3" s="117" t="s">
        <v>99</v>
      </c>
      <c r="D3" s="118"/>
      <c r="E3" s="118"/>
      <c r="F3" s="114" t="s">
        <v>86</v>
      </c>
    </row>
    <row r="4" spans="1:7" s="82" customFormat="1" ht="12" customHeight="1" x14ac:dyDescent="0.25">
      <c r="A4" s="115"/>
      <c r="B4" s="115"/>
      <c r="C4" s="119"/>
      <c r="D4" s="120"/>
      <c r="E4" s="120"/>
      <c r="F4" s="115"/>
    </row>
    <row r="5" spans="1:7" s="82" customFormat="1" ht="12" customHeight="1" x14ac:dyDescent="0.25">
      <c r="A5" s="115"/>
      <c r="B5" s="115"/>
      <c r="C5" s="114" t="s">
        <v>85</v>
      </c>
      <c r="D5" s="114" t="s">
        <v>84</v>
      </c>
      <c r="E5" s="114" t="s">
        <v>83</v>
      </c>
      <c r="F5" s="115"/>
    </row>
    <row r="6" spans="1:7" s="82" customFormat="1" ht="12" x14ac:dyDescent="0.25">
      <c r="A6" s="116"/>
      <c r="B6" s="116"/>
      <c r="C6" s="116"/>
      <c r="D6" s="121"/>
      <c r="E6" s="116"/>
      <c r="F6" s="116"/>
    </row>
    <row r="7" spans="1:7" s="84" customFormat="1" x14ac:dyDescent="0.25">
      <c r="A7" s="83">
        <v>1</v>
      </c>
      <c r="B7" s="83">
        <v>2</v>
      </c>
      <c r="C7" s="83">
        <v>3</v>
      </c>
      <c r="D7" s="83">
        <v>4</v>
      </c>
      <c r="E7" s="83">
        <v>5</v>
      </c>
      <c r="F7" s="83">
        <v>6</v>
      </c>
    </row>
    <row r="8" spans="1:7" s="84" customFormat="1" x14ac:dyDescent="0.25">
      <c r="A8" s="109" t="s">
        <v>78</v>
      </c>
      <c r="B8" s="122"/>
      <c r="C8" s="122"/>
      <c r="D8" s="122"/>
      <c r="E8" s="122"/>
      <c r="F8" s="122"/>
    </row>
    <row r="9" spans="1:7" s="84" customFormat="1" x14ac:dyDescent="0.25">
      <c r="A9" s="22" t="s">
        <v>36</v>
      </c>
      <c r="B9" s="2" t="s">
        <v>37</v>
      </c>
      <c r="C9" s="14" t="s">
        <v>90</v>
      </c>
      <c r="D9" s="14" t="s">
        <v>90</v>
      </c>
      <c r="E9" s="14" t="s">
        <v>90</v>
      </c>
      <c r="F9" s="1">
        <f>345*1.112</f>
        <v>383.64000000000004</v>
      </c>
    </row>
    <row r="10" spans="1:7" s="84" customFormat="1" x14ac:dyDescent="0.25">
      <c r="A10" s="85" t="s">
        <v>6</v>
      </c>
      <c r="B10" s="102" t="s">
        <v>45</v>
      </c>
      <c r="C10" s="14" t="s">
        <v>90</v>
      </c>
      <c r="D10" s="14" t="s">
        <v>90</v>
      </c>
      <c r="E10" s="14" t="s">
        <v>90</v>
      </c>
      <c r="F10" s="20" t="s">
        <v>100</v>
      </c>
    </row>
    <row r="11" spans="1:7" s="84" customFormat="1" x14ac:dyDescent="0.25">
      <c r="A11" s="85" t="s">
        <v>7</v>
      </c>
      <c r="B11" s="103"/>
      <c r="C11" s="14" t="s">
        <v>90</v>
      </c>
      <c r="D11" s="14" t="s">
        <v>90</v>
      </c>
      <c r="E11" s="14" t="s">
        <v>90</v>
      </c>
      <c r="F11" s="20" t="s">
        <v>100</v>
      </c>
      <c r="G11" s="86"/>
    </row>
    <row r="12" spans="1:7" x14ac:dyDescent="0.25">
      <c r="A12" s="109" t="s">
        <v>33</v>
      </c>
      <c r="B12" s="110"/>
      <c r="C12" s="110"/>
      <c r="D12" s="110"/>
      <c r="E12" s="110"/>
      <c r="F12" s="110"/>
    </row>
    <row r="13" spans="1:7" ht="25.5" x14ac:dyDescent="0.25">
      <c r="A13" s="70" t="s">
        <v>93</v>
      </c>
      <c r="B13" s="2" t="s">
        <v>37</v>
      </c>
      <c r="C13" s="1">
        <f t="shared" ref="C13:F13" si="0">C17+C18</f>
        <v>9151.1999999999989</v>
      </c>
      <c r="D13" s="1">
        <f t="shared" si="0"/>
        <v>10813.8</v>
      </c>
      <c r="E13" s="1">
        <f t="shared" si="0"/>
        <v>9207</v>
      </c>
      <c r="F13" s="1">
        <f t="shared" si="0"/>
        <v>12247.172</v>
      </c>
    </row>
    <row r="14" spans="1:7" s="87" customFormat="1" x14ac:dyDescent="0.25">
      <c r="A14" s="85" t="s">
        <v>6</v>
      </c>
      <c r="B14" s="102" t="s">
        <v>45</v>
      </c>
      <c r="C14" s="1">
        <f>C13/8480.2*100</f>
        <v>107.9125492323294</v>
      </c>
      <c r="D14" s="1">
        <f>D13/C13*100</f>
        <v>118.16810910044583</v>
      </c>
      <c r="E14" s="1">
        <f>E13/D13*100</f>
        <v>85.141208455861957</v>
      </c>
      <c r="F14" s="20" t="s">
        <v>100</v>
      </c>
    </row>
    <row r="15" spans="1:7" s="87" customFormat="1" x14ac:dyDescent="0.25">
      <c r="A15" s="85" t="s">
        <v>7</v>
      </c>
      <c r="B15" s="103"/>
      <c r="C15" s="1">
        <f>C14/114*100</f>
        <v>94.660130905552094</v>
      </c>
      <c r="D15" s="1">
        <f>D14/102.2*100</f>
        <v>115.62437289671803</v>
      </c>
      <c r="E15" s="1">
        <v>102.1</v>
      </c>
      <c r="F15" s="20" t="s">
        <v>100</v>
      </c>
    </row>
    <row r="16" spans="1:7" x14ac:dyDescent="0.25">
      <c r="A16" s="88" t="s">
        <v>8</v>
      </c>
      <c r="B16" s="69"/>
      <c r="C16" s="1"/>
      <c r="D16" s="1"/>
      <c r="E16" s="1"/>
      <c r="F16" s="89"/>
    </row>
    <row r="17" spans="1:7" x14ac:dyDescent="0.25">
      <c r="A17" s="22" t="s">
        <v>79</v>
      </c>
      <c r="B17" s="2" t="s">
        <v>37</v>
      </c>
      <c r="C17" s="1">
        <f>8326.3</f>
        <v>8326.2999999999993</v>
      </c>
      <c r="D17" s="1">
        <f>10312.5</f>
        <v>10312.5</v>
      </c>
      <c r="E17" s="1">
        <f>8737.5</f>
        <v>8737.5</v>
      </c>
      <c r="F17" s="13">
        <f>(E17+2303.5)*1.064</f>
        <v>11747.624</v>
      </c>
    </row>
    <row r="18" spans="1:7" ht="25.5" x14ac:dyDescent="0.25">
      <c r="A18" s="22" t="s">
        <v>38</v>
      </c>
      <c r="B18" s="2" t="s">
        <v>37</v>
      </c>
      <c r="C18" s="14">
        <v>824.9</v>
      </c>
      <c r="D18" s="1">
        <v>501.3</v>
      </c>
      <c r="E18" s="1">
        <v>469.5</v>
      </c>
      <c r="F18" s="13">
        <f>E18*1.064</f>
        <v>499.548</v>
      </c>
      <c r="G18" s="90"/>
    </row>
    <row r="19" spans="1:7" x14ac:dyDescent="0.25">
      <c r="A19" s="109" t="s">
        <v>34</v>
      </c>
      <c r="B19" s="110"/>
      <c r="C19" s="110"/>
      <c r="D19" s="110"/>
      <c r="E19" s="110"/>
      <c r="F19" s="110"/>
    </row>
    <row r="20" spans="1:7" ht="22.5" x14ac:dyDescent="0.25">
      <c r="A20" s="8" t="s">
        <v>2</v>
      </c>
      <c r="B20" s="2" t="s">
        <v>46</v>
      </c>
      <c r="C20" s="1">
        <v>14.442</v>
      </c>
      <c r="D20" s="1">
        <v>23.683</v>
      </c>
      <c r="E20" s="1">
        <v>11.465999999999999</v>
      </c>
      <c r="F20" s="1">
        <f>(11.466+33.145)*0.68</f>
        <v>30.335480000000004</v>
      </c>
    </row>
    <row r="21" spans="1:7" ht="22.5" x14ac:dyDescent="0.25">
      <c r="A21" s="22" t="s">
        <v>9</v>
      </c>
      <c r="B21" s="2" t="s">
        <v>46</v>
      </c>
      <c r="C21" s="1">
        <v>7.3920000000000003</v>
      </c>
      <c r="D21" s="1">
        <v>9.7289999999999992</v>
      </c>
      <c r="E21" s="1">
        <v>6.6360000000000001</v>
      </c>
      <c r="F21" s="1">
        <f>(6.636+33.145)*0.701</f>
        <v>27.886481000000003</v>
      </c>
    </row>
    <row r="22" spans="1:7" ht="22.5" x14ac:dyDescent="0.25">
      <c r="A22" s="107" t="s">
        <v>10</v>
      </c>
      <c r="B22" s="2" t="s">
        <v>47</v>
      </c>
      <c r="C22" s="1">
        <f>1026.3/C93</f>
        <v>25.821466311075326</v>
      </c>
      <c r="D22" s="1">
        <f>1048.2/D93</f>
        <v>26.681939671630396</v>
      </c>
      <c r="E22" s="1">
        <f>1059.5/E93</f>
        <v>27.252617228695627</v>
      </c>
      <c r="F22" s="1">
        <f>(1059.5+352+191.1+247.9+F20)/F93</f>
        <v>31.849602673202821</v>
      </c>
    </row>
    <row r="23" spans="1:7" ht="33.75" x14ac:dyDescent="0.25">
      <c r="A23" s="111"/>
      <c r="B23" s="2" t="s">
        <v>48</v>
      </c>
      <c r="C23" s="1">
        <f>C22/25*100</f>
        <v>103.28586524430131</v>
      </c>
      <c r="D23" s="1">
        <f>D22/C22*100</f>
        <v>103.33239541933369</v>
      </c>
      <c r="E23" s="1">
        <f>E22/D22*100</f>
        <v>102.13881585854871</v>
      </c>
      <c r="F23" s="20" t="s">
        <v>100</v>
      </c>
    </row>
    <row r="24" spans="1:7" x14ac:dyDescent="0.25">
      <c r="A24" s="109" t="s">
        <v>35</v>
      </c>
      <c r="B24" s="110"/>
      <c r="C24" s="110"/>
      <c r="D24" s="110"/>
      <c r="E24" s="110"/>
      <c r="F24" s="110"/>
    </row>
    <row r="25" spans="1:7" x14ac:dyDescent="0.25">
      <c r="A25" s="8" t="s">
        <v>11</v>
      </c>
      <c r="B25" s="2" t="s">
        <v>12</v>
      </c>
      <c r="C25" s="14">
        <v>145.69999999999999</v>
      </c>
      <c r="D25" s="14">
        <v>145.69999999999999</v>
      </c>
      <c r="E25" s="14">
        <v>145.69999999999999</v>
      </c>
      <c r="F25" s="14">
        <f>145.7+766.4</f>
        <v>912.09999999999991</v>
      </c>
    </row>
    <row r="26" spans="1:7" ht="56.25" x14ac:dyDescent="0.25">
      <c r="A26" s="91" t="s">
        <v>63</v>
      </c>
      <c r="B26" s="2" t="s">
        <v>62</v>
      </c>
      <c r="C26" s="1">
        <f>121.9/C25*100</f>
        <v>83.665065202470842</v>
      </c>
      <c r="D26" s="1">
        <f t="shared" ref="D26" si="1">121.9/D25*100</f>
        <v>83.665065202470842</v>
      </c>
      <c r="E26" s="1">
        <f>121.9/E25*100</f>
        <v>83.665065202470842</v>
      </c>
      <c r="F26" s="1">
        <f>(121.9+151.6)/F25*100</f>
        <v>29.985747176844647</v>
      </c>
    </row>
    <row r="27" spans="1:7" x14ac:dyDescent="0.25">
      <c r="A27" s="109" t="s">
        <v>39</v>
      </c>
      <c r="B27" s="110"/>
      <c r="C27" s="110"/>
      <c r="D27" s="110"/>
      <c r="E27" s="110"/>
      <c r="F27" s="110"/>
    </row>
    <row r="28" spans="1:7" x14ac:dyDescent="0.25">
      <c r="A28" s="112" t="s">
        <v>40</v>
      </c>
      <c r="B28" s="2" t="s">
        <v>37</v>
      </c>
      <c r="C28" s="1">
        <v>174.2</v>
      </c>
      <c r="D28" s="1">
        <f>93.5</f>
        <v>93.5</v>
      </c>
      <c r="E28" s="1">
        <v>224.5</v>
      </c>
      <c r="F28" s="1">
        <f>(224.5+0.5)*188.1/100</f>
        <v>423.22500000000002</v>
      </c>
    </row>
    <row r="29" spans="1:7" ht="33.75" x14ac:dyDescent="0.25">
      <c r="A29" s="113"/>
      <c r="B29" s="2" t="s">
        <v>48</v>
      </c>
      <c r="C29" s="1">
        <f>C28/517*100</f>
        <v>33.694390715667311</v>
      </c>
      <c r="D29" s="1">
        <f>D28/C28*100</f>
        <v>53.673938002296218</v>
      </c>
      <c r="E29" s="1">
        <f>E28/D28*100</f>
        <v>240.10695187165774</v>
      </c>
      <c r="F29" s="20" t="s">
        <v>100</v>
      </c>
    </row>
    <row r="30" spans="1:7" x14ac:dyDescent="0.25">
      <c r="A30" s="105" t="s">
        <v>41</v>
      </c>
      <c r="B30" s="2" t="s">
        <v>37</v>
      </c>
      <c r="C30" s="1">
        <v>640.9</v>
      </c>
      <c r="D30" s="1">
        <v>407.6</v>
      </c>
      <c r="E30" s="1">
        <v>432.8</v>
      </c>
      <c r="F30" s="1">
        <f>(432.8+49)*109.5/100</f>
        <v>527.57100000000003</v>
      </c>
    </row>
    <row r="31" spans="1:7" ht="33.75" x14ac:dyDescent="0.25">
      <c r="A31" s="106"/>
      <c r="B31" s="2" t="s">
        <v>48</v>
      </c>
      <c r="C31" s="1">
        <f>C30/184.5*100</f>
        <v>347.37127371273709</v>
      </c>
      <c r="D31" s="4">
        <f>D30/C30*100</f>
        <v>63.598065220783283</v>
      </c>
      <c r="E31" s="4">
        <f>E30/D30*100</f>
        <v>106.18253189401375</v>
      </c>
      <c r="F31" s="20" t="s">
        <v>100</v>
      </c>
    </row>
    <row r="32" spans="1:7" x14ac:dyDescent="0.25">
      <c r="A32" s="107" t="s">
        <v>108</v>
      </c>
      <c r="B32" s="2" t="s">
        <v>37</v>
      </c>
      <c r="C32" s="1">
        <f>750.7+205.2+159.6+160.5</f>
        <v>1276</v>
      </c>
      <c r="D32" s="4">
        <f>622.8+88.3+369.6+569.5</f>
        <v>1650.1999999999998</v>
      </c>
      <c r="E32" s="4">
        <f>D32*E33/100</f>
        <v>1219.4978000000001</v>
      </c>
      <c r="F32" s="1">
        <f>(E32+((51.4+16.2+294.5+31.9)*0.739))*114.9/100</f>
        <v>1735.7527062000001</v>
      </c>
    </row>
    <row r="33" spans="1:7" ht="33.75" x14ac:dyDescent="0.25">
      <c r="A33" s="108"/>
      <c r="B33" s="2" t="s">
        <v>48</v>
      </c>
      <c r="C33" s="1">
        <f>C32/(747.4+124.2+270+175.5)*100</f>
        <v>96.879508010022022</v>
      </c>
      <c r="D33" s="4">
        <f>D32/C32*100</f>
        <v>129.32601880877741</v>
      </c>
      <c r="E33" s="4">
        <v>73.900000000000006</v>
      </c>
      <c r="F33" s="20" t="s">
        <v>100</v>
      </c>
    </row>
    <row r="34" spans="1:7" x14ac:dyDescent="0.25">
      <c r="A34" s="8" t="s">
        <v>107</v>
      </c>
      <c r="B34" s="2" t="s">
        <v>37</v>
      </c>
      <c r="C34" s="1">
        <f>4+13.5+11.1+328.3</f>
        <v>356.90000000000003</v>
      </c>
      <c r="D34" s="4">
        <f>4.6+507.9+9.4+572.9</f>
        <v>1094.8</v>
      </c>
      <c r="E34" s="4">
        <f>D34*103.7/100</f>
        <v>1135.3075999999999</v>
      </c>
      <c r="F34" s="1">
        <f>(E34+((6.5+18.6+50.5+10.3)*1.037))*105.8/100</f>
        <v>1295.4002821999998</v>
      </c>
    </row>
    <row r="35" spans="1:7" x14ac:dyDescent="0.25">
      <c r="A35" s="8" t="s">
        <v>110</v>
      </c>
      <c r="B35" s="2" t="s">
        <v>13</v>
      </c>
      <c r="C35" s="1">
        <f>SUM(100-(C36/(4876.2+3186.6)*100))</f>
        <v>42.274395991466974</v>
      </c>
      <c r="D35" s="4">
        <f>SUM(100-D36/(5065.4+3511)*100)</f>
        <v>42.761531644979243</v>
      </c>
      <c r="E35" s="4">
        <f>D35+0.4</f>
        <v>43.161531644979242</v>
      </c>
      <c r="F35" s="1">
        <f>E35-0.4</f>
        <v>42.761531644979243</v>
      </c>
    </row>
    <row r="36" spans="1:7" x14ac:dyDescent="0.25">
      <c r="A36" s="8" t="s">
        <v>109</v>
      </c>
      <c r="B36" s="2" t="s">
        <v>37</v>
      </c>
      <c r="C36" s="1">
        <f>2889.3+1765</f>
        <v>4654.3</v>
      </c>
      <c r="D36" s="4">
        <f>2947.5+1961.5</f>
        <v>4909</v>
      </c>
      <c r="E36" s="4">
        <f>D36*1.049</f>
        <v>5149.5409999999993</v>
      </c>
      <c r="F36" s="1">
        <f>(E36+((651.1+1265.8)*1.049))*107.2/100</f>
        <v>7675.915675199999</v>
      </c>
    </row>
    <row r="37" spans="1:7" ht="25.5" x14ac:dyDescent="0.25">
      <c r="A37" s="8" t="s">
        <v>89</v>
      </c>
      <c r="B37" s="2" t="s">
        <v>37</v>
      </c>
      <c r="C37" s="14">
        <v>773.3</v>
      </c>
      <c r="D37" s="5">
        <v>955.7</v>
      </c>
      <c r="E37" s="5">
        <v>764.1</v>
      </c>
      <c r="F37" s="1">
        <f>(E37+243.3)*1.047</f>
        <v>1054.7478000000001</v>
      </c>
    </row>
    <row r="38" spans="1:7" x14ac:dyDescent="0.25">
      <c r="A38" s="85" t="s">
        <v>6</v>
      </c>
      <c r="B38" s="102" t="s">
        <v>48</v>
      </c>
      <c r="C38" s="1">
        <f>C37/1009.9*100</f>
        <v>76.571937815625304</v>
      </c>
      <c r="D38" s="1">
        <f>D37/C37*100</f>
        <v>123.5872235872236</v>
      </c>
      <c r="E38" s="1">
        <f>E37/D37*100</f>
        <v>79.951867740922879</v>
      </c>
      <c r="F38" s="20" t="s">
        <v>100</v>
      </c>
    </row>
    <row r="39" spans="1:7" x14ac:dyDescent="0.25">
      <c r="A39" s="85" t="s">
        <v>7</v>
      </c>
      <c r="B39" s="104"/>
      <c r="C39" s="14">
        <v>66.5</v>
      </c>
      <c r="D39" s="5">
        <v>112.7</v>
      </c>
      <c r="E39" s="5">
        <v>76.3</v>
      </c>
      <c r="F39" s="20" t="s">
        <v>100</v>
      </c>
    </row>
    <row r="40" spans="1:7" x14ac:dyDescent="0.25">
      <c r="A40" s="109" t="s">
        <v>94</v>
      </c>
      <c r="B40" s="110"/>
      <c r="C40" s="110"/>
      <c r="D40" s="110"/>
      <c r="E40" s="110"/>
      <c r="F40" s="110"/>
    </row>
    <row r="41" spans="1:7" x14ac:dyDescent="0.25">
      <c r="A41" s="8" t="s">
        <v>14</v>
      </c>
      <c r="B41" s="2" t="s">
        <v>37</v>
      </c>
      <c r="C41" s="7">
        <v>7402.7</v>
      </c>
      <c r="D41" s="7">
        <v>6829.2</v>
      </c>
      <c r="E41" s="7">
        <v>7744.1</v>
      </c>
      <c r="F41" s="92">
        <f>(7744.1+2272.4)*102.8/100</f>
        <v>10296.962</v>
      </c>
    </row>
    <row r="42" spans="1:7" x14ac:dyDescent="0.25">
      <c r="A42" s="85" t="s">
        <v>6</v>
      </c>
      <c r="B42" s="102" t="s">
        <v>52</v>
      </c>
      <c r="C42" s="1">
        <f>C41/6059.7*100</f>
        <v>122.16281334059443</v>
      </c>
      <c r="D42" s="1">
        <f>D41/C41*100</f>
        <v>92.252826671349638</v>
      </c>
      <c r="E42" s="1">
        <f>E41/D41*100</f>
        <v>113.39688396883969</v>
      </c>
      <c r="F42" s="20" t="s">
        <v>100</v>
      </c>
      <c r="G42" s="93"/>
    </row>
    <row r="43" spans="1:7" x14ac:dyDescent="0.25">
      <c r="A43" s="85" t="s">
        <v>7</v>
      </c>
      <c r="B43" s="104"/>
      <c r="C43" s="14">
        <v>102.9</v>
      </c>
      <c r="D43" s="14">
        <v>85.4</v>
      </c>
      <c r="E43" s="14">
        <v>100.3</v>
      </c>
      <c r="F43" s="20" t="s">
        <v>100</v>
      </c>
    </row>
    <row r="44" spans="1:7" x14ac:dyDescent="0.25">
      <c r="A44" s="8" t="s">
        <v>3</v>
      </c>
      <c r="B44" s="2" t="s">
        <v>37</v>
      </c>
      <c r="C44" s="1">
        <v>284.5</v>
      </c>
      <c r="D44" s="1">
        <v>314</v>
      </c>
      <c r="E44" s="1">
        <v>297.2</v>
      </c>
      <c r="F44" s="1">
        <f>(297.2+102.9)*101.1/100</f>
        <v>404.50110000000001</v>
      </c>
    </row>
    <row r="45" spans="1:7" x14ac:dyDescent="0.25">
      <c r="A45" s="85" t="s">
        <v>6</v>
      </c>
      <c r="B45" s="102" t="s">
        <v>48</v>
      </c>
      <c r="C45" s="1">
        <f>C44/309.2*100</f>
        <v>92.011642949547223</v>
      </c>
      <c r="D45" s="1">
        <f>D44/C44*100</f>
        <v>110.36906854130054</v>
      </c>
      <c r="E45" s="1">
        <f>E44/D44*100</f>
        <v>94.649681528662427</v>
      </c>
      <c r="F45" s="20" t="s">
        <v>100</v>
      </c>
    </row>
    <row r="46" spans="1:7" x14ac:dyDescent="0.25">
      <c r="A46" s="85" t="s">
        <v>7</v>
      </c>
      <c r="B46" s="104"/>
      <c r="C46" s="14">
        <v>80.099999999999994</v>
      </c>
      <c r="D46" s="14">
        <v>103.5</v>
      </c>
      <c r="E46" s="14">
        <v>87.1</v>
      </c>
      <c r="F46" s="20" t="s">
        <v>100</v>
      </c>
    </row>
    <row r="47" spans="1:7" s="87" customFormat="1" x14ac:dyDescent="0.25">
      <c r="A47" s="94" t="s">
        <v>43</v>
      </c>
      <c r="B47" s="2" t="s">
        <v>49</v>
      </c>
      <c r="C47" s="14">
        <v>464</v>
      </c>
      <c r="D47" s="14">
        <v>458</v>
      </c>
      <c r="E47" s="14">
        <v>502</v>
      </c>
      <c r="F47" s="3">
        <f>(E47+272)*1.025</f>
        <v>793.34999999999991</v>
      </c>
    </row>
    <row r="48" spans="1:7" s="87" customFormat="1" x14ac:dyDescent="0.25">
      <c r="A48" s="94" t="s">
        <v>42</v>
      </c>
      <c r="B48" s="2" t="s">
        <v>49</v>
      </c>
      <c r="C48" s="14">
        <v>134</v>
      </c>
      <c r="D48" s="14">
        <v>130</v>
      </c>
      <c r="E48" s="14">
        <v>140</v>
      </c>
      <c r="F48" s="3">
        <f>(E48+30)*1.025</f>
        <v>174.24999999999997</v>
      </c>
    </row>
    <row r="49" spans="1:6" x14ac:dyDescent="0.25">
      <c r="A49" s="109" t="s">
        <v>95</v>
      </c>
      <c r="B49" s="123"/>
      <c r="C49" s="123"/>
      <c r="D49" s="123"/>
      <c r="E49" s="123"/>
      <c r="F49" s="123"/>
    </row>
    <row r="50" spans="1:6" x14ac:dyDescent="0.25">
      <c r="A50" s="107" t="s">
        <v>16</v>
      </c>
      <c r="B50" s="2" t="s">
        <v>53</v>
      </c>
      <c r="C50" s="15">
        <v>3221.08</v>
      </c>
      <c r="D50" s="15">
        <v>3432.3</v>
      </c>
      <c r="E50" s="7">
        <v>3919.68</v>
      </c>
      <c r="F50" s="7">
        <f>E50*F51/100</f>
        <v>4076.4671999999996</v>
      </c>
    </row>
    <row r="51" spans="1:6" ht="33.75" x14ac:dyDescent="0.25">
      <c r="A51" s="124"/>
      <c r="B51" s="2" t="s">
        <v>51</v>
      </c>
      <c r="C51" s="1">
        <f>C50/2895.1*100</f>
        <v>111.25971469033884</v>
      </c>
      <c r="D51" s="1">
        <f>D50/C50*100</f>
        <v>106.55742794342271</v>
      </c>
      <c r="E51" s="21">
        <f>E50/D50*100</f>
        <v>114.19980770911633</v>
      </c>
      <c r="F51" s="1">
        <v>104</v>
      </c>
    </row>
    <row r="52" spans="1:6" x14ac:dyDescent="0.25">
      <c r="A52" s="88" t="s">
        <v>18</v>
      </c>
      <c r="B52" s="2"/>
      <c r="C52" s="14"/>
      <c r="D52" s="14"/>
      <c r="E52" s="14"/>
      <c r="F52" s="14"/>
    </row>
    <row r="53" spans="1:6" x14ac:dyDescent="0.25">
      <c r="A53" s="22" t="s">
        <v>19</v>
      </c>
      <c r="B53" s="69"/>
      <c r="C53" s="11"/>
      <c r="D53" s="14"/>
      <c r="E53" s="14"/>
      <c r="F53" s="14"/>
    </row>
    <row r="54" spans="1:6" x14ac:dyDescent="0.25">
      <c r="A54" s="85" t="s">
        <v>20</v>
      </c>
      <c r="B54" s="102" t="s">
        <v>53</v>
      </c>
      <c r="C54" s="16">
        <v>3.02</v>
      </c>
      <c r="D54" s="16">
        <v>3.27</v>
      </c>
      <c r="E54" s="6">
        <v>3.3</v>
      </c>
      <c r="F54" s="6">
        <v>3.43</v>
      </c>
    </row>
    <row r="55" spans="1:6" x14ac:dyDescent="0.25">
      <c r="A55" s="85" t="s">
        <v>21</v>
      </c>
      <c r="B55" s="104"/>
      <c r="C55" s="16">
        <v>3.27</v>
      </c>
      <c r="D55" s="16">
        <v>3.3</v>
      </c>
      <c r="E55" s="6">
        <v>3.43</v>
      </c>
      <c r="F55" s="6">
        <v>2.88</v>
      </c>
    </row>
    <row r="56" spans="1:6" ht="33.75" x14ac:dyDescent="0.25">
      <c r="A56" s="95"/>
      <c r="B56" s="2" t="s">
        <v>51</v>
      </c>
      <c r="C56" s="1">
        <v>106.3</v>
      </c>
      <c r="D56" s="1">
        <f>((D54*6+D55*6)/(C54*6+C55*6))*100</f>
        <v>104.45151033386328</v>
      </c>
      <c r="E56" s="4">
        <f>(E54*6+E55*6)/(D54*6+D55*6)*100</f>
        <v>102.4353120243531</v>
      </c>
      <c r="F56" s="4">
        <f>(F54*6+F55*6)/(E54*6+E55*6)*100</f>
        <v>93.759286775631509</v>
      </c>
    </row>
    <row r="57" spans="1:6" x14ac:dyDescent="0.25">
      <c r="A57" s="125" t="s">
        <v>22</v>
      </c>
      <c r="B57" s="2" t="s">
        <v>17</v>
      </c>
      <c r="C57" s="17">
        <v>5710.97</v>
      </c>
      <c r="D57" s="18">
        <v>6207.1</v>
      </c>
      <c r="E57" s="1">
        <v>6797.1</v>
      </c>
      <c r="F57" s="1">
        <v>7160.2</v>
      </c>
    </row>
    <row r="58" spans="1:6" ht="33.75" x14ac:dyDescent="0.25">
      <c r="A58" s="125"/>
      <c r="B58" s="2" t="s">
        <v>51</v>
      </c>
      <c r="C58" s="1">
        <f>C57/5877.2*100</f>
        <v>97.171612332403186</v>
      </c>
      <c r="D58" s="1">
        <f>D57/C57*100</f>
        <v>108.68731581500167</v>
      </c>
      <c r="E58" s="4">
        <f>E57/D57*100</f>
        <v>109.50524399478016</v>
      </c>
      <c r="F58" s="4">
        <f>F57/E57*100</f>
        <v>105.34198408144648</v>
      </c>
    </row>
    <row r="59" spans="1:6" x14ac:dyDescent="0.25">
      <c r="A59" s="107" t="s">
        <v>23</v>
      </c>
      <c r="B59" s="2" t="s">
        <v>54</v>
      </c>
      <c r="C59" s="17">
        <v>1687.8400000000001</v>
      </c>
      <c r="D59" s="17">
        <v>1808.03</v>
      </c>
      <c r="E59" s="1">
        <v>1835.48</v>
      </c>
      <c r="F59" s="1">
        <v>2164.0300000000002</v>
      </c>
    </row>
    <row r="60" spans="1:6" ht="33.75" x14ac:dyDescent="0.25">
      <c r="A60" s="124"/>
      <c r="B60" s="2" t="s">
        <v>51</v>
      </c>
      <c r="C60" s="1">
        <f>C59/1590.2*100</f>
        <v>106.14010816249528</v>
      </c>
      <c r="D60" s="4">
        <f>D59/C59*100</f>
        <v>107.12093563370935</v>
      </c>
      <c r="E60" s="4">
        <f>E59/D59*100</f>
        <v>101.51822702056934</v>
      </c>
      <c r="F60" s="4">
        <f>F59/E59*100</f>
        <v>117.89994987687145</v>
      </c>
    </row>
    <row r="61" spans="1:6" x14ac:dyDescent="0.25">
      <c r="A61" s="8" t="s">
        <v>44</v>
      </c>
      <c r="B61" s="2"/>
      <c r="C61" s="14"/>
      <c r="D61" s="5"/>
      <c r="E61" s="5"/>
      <c r="F61" s="14"/>
    </row>
    <row r="62" spans="1:6" x14ac:dyDescent="0.25">
      <c r="A62" s="70" t="s">
        <v>24</v>
      </c>
      <c r="B62" s="69"/>
      <c r="C62" s="11"/>
      <c r="D62" s="5"/>
      <c r="E62" s="5"/>
      <c r="F62" s="14"/>
    </row>
    <row r="63" spans="1:6" x14ac:dyDescent="0.25">
      <c r="A63" s="85" t="s">
        <v>20</v>
      </c>
      <c r="B63" s="102" t="s">
        <v>55</v>
      </c>
      <c r="C63" s="19">
        <v>5926</v>
      </c>
      <c r="D63" s="19">
        <v>6370</v>
      </c>
      <c r="E63" s="14">
        <v>6497</v>
      </c>
      <c r="F63" s="3">
        <v>6750</v>
      </c>
    </row>
    <row r="64" spans="1:6" x14ac:dyDescent="0.25">
      <c r="A64" s="85" t="s">
        <v>21</v>
      </c>
      <c r="B64" s="104"/>
      <c r="C64" s="19">
        <v>6370</v>
      </c>
      <c r="D64" s="19">
        <v>6494</v>
      </c>
      <c r="E64" s="14">
        <v>6750</v>
      </c>
      <c r="F64" s="3">
        <v>6980</v>
      </c>
    </row>
    <row r="65" spans="1:6" ht="33.75" x14ac:dyDescent="0.25">
      <c r="A65" s="96"/>
      <c r="B65" s="2" t="s">
        <v>52</v>
      </c>
      <c r="C65" s="1">
        <v>105.9</v>
      </c>
      <c r="D65" s="4">
        <f>(D63*6+D64*6)/(C64*6+C63*6)*100</f>
        <v>104.61938841899806</v>
      </c>
      <c r="E65" s="4">
        <f>(E63*6+E64*6)/(D63*6+D64*6)*100</f>
        <v>102.97730099502486</v>
      </c>
      <c r="F65" s="4">
        <f>(F63*6+F64*6)/(E63*6+E64*6)*100</f>
        <v>103.64610855287989</v>
      </c>
    </row>
    <row r="66" spans="1:6" x14ac:dyDescent="0.25">
      <c r="A66" s="22" t="s">
        <v>25</v>
      </c>
      <c r="B66" s="69"/>
      <c r="C66" s="12"/>
      <c r="D66" s="4"/>
      <c r="E66" s="4"/>
      <c r="F66" s="1"/>
    </row>
    <row r="67" spans="1:6" x14ac:dyDescent="0.25">
      <c r="A67" s="85" t="s">
        <v>20</v>
      </c>
      <c r="B67" s="102" t="s">
        <v>55</v>
      </c>
      <c r="C67" s="19">
        <v>3977</v>
      </c>
      <c r="D67" s="19">
        <v>4275</v>
      </c>
      <c r="E67" s="14">
        <v>4361</v>
      </c>
      <c r="F67" s="3">
        <v>4531</v>
      </c>
    </row>
    <row r="68" spans="1:6" x14ac:dyDescent="0.25">
      <c r="A68" s="85" t="s">
        <v>21</v>
      </c>
      <c r="B68" s="104"/>
      <c r="C68" s="19">
        <v>4275</v>
      </c>
      <c r="D68" s="19">
        <v>4361</v>
      </c>
      <c r="E68" s="14">
        <v>4531</v>
      </c>
      <c r="F68" s="3">
        <v>4685</v>
      </c>
    </row>
    <row r="69" spans="1:6" ht="33.75" x14ac:dyDescent="0.25">
      <c r="A69" s="8"/>
      <c r="B69" s="2" t="s">
        <v>52</v>
      </c>
      <c r="C69" s="1">
        <v>105.9</v>
      </c>
      <c r="D69" s="4">
        <f>(D67*6+D68*6)/(C67*6+C68*6)*100</f>
        <v>104.65341735336888</v>
      </c>
      <c r="E69" s="4">
        <f>(E67*6+E68*6)/(D67*6+D68*6)*100</f>
        <v>102.96433534043538</v>
      </c>
      <c r="F69" s="4">
        <f>(F67*6+F68*6)/(E67*6+E68*6)*100</f>
        <v>103.64372469635627</v>
      </c>
    </row>
    <row r="70" spans="1:6" x14ac:dyDescent="0.25">
      <c r="A70" s="22" t="s">
        <v>26</v>
      </c>
      <c r="B70" s="2"/>
      <c r="C70" s="95"/>
      <c r="D70" s="95"/>
      <c r="E70" s="95"/>
      <c r="F70" s="95"/>
    </row>
    <row r="71" spans="1:6" x14ac:dyDescent="0.25">
      <c r="A71" s="85" t="s">
        <v>20</v>
      </c>
      <c r="B71" s="102" t="s">
        <v>56</v>
      </c>
      <c r="C71" s="26">
        <v>16.170000000000002</v>
      </c>
      <c r="D71" s="26">
        <v>19.2</v>
      </c>
      <c r="E71" s="26">
        <f>D72</f>
        <v>20.190000000000001</v>
      </c>
      <c r="F71" s="26">
        <v>21.19</v>
      </c>
    </row>
    <row r="72" spans="1:6" x14ac:dyDescent="0.25">
      <c r="A72" s="85" t="s">
        <v>21</v>
      </c>
      <c r="B72" s="116"/>
      <c r="C72" s="26">
        <v>19.2</v>
      </c>
      <c r="D72" s="26">
        <v>20.190000000000001</v>
      </c>
      <c r="E72" s="26">
        <v>21.39</v>
      </c>
      <c r="F72" s="26">
        <v>26.56</v>
      </c>
    </row>
    <row r="73" spans="1:6" ht="33.75" x14ac:dyDescent="0.25">
      <c r="A73" s="23"/>
      <c r="B73" s="2" t="s">
        <v>51</v>
      </c>
      <c r="C73" s="27">
        <v>112</v>
      </c>
      <c r="D73" s="28">
        <f>(D71*6+D72*6)/(C71*6+C72*6)*100</f>
        <v>111.36556403731976</v>
      </c>
      <c r="E73" s="28">
        <f>(E71*6+E72*6)/(D71*6+D72*6)*100</f>
        <v>105.55978674790556</v>
      </c>
      <c r="F73" s="28">
        <f>(F72*6+F71*6)/(E71*6+E72*6)*100</f>
        <v>114.83886483886482</v>
      </c>
    </row>
    <row r="74" spans="1:6" x14ac:dyDescent="0.25">
      <c r="A74" s="70" t="s">
        <v>27</v>
      </c>
      <c r="B74" s="2"/>
      <c r="C74" s="1"/>
      <c r="D74" s="4"/>
      <c r="E74" s="4"/>
      <c r="F74" s="4"/>
    </row>
    <row r="75" spans="1:6" x14ac:dyDescent="0.25">
      <c r="A75" s="85" t="s">
        <v>20</v>
      </c>
      <c r="B75" s="102" t="s">
        <v>57</v>
      </c>
      <c r="C75" s="6">
        <v>33.33</v>
      </c>
      <c r="D75" s="6">
        <f>C76</f>
        <v>39.909999999999997</v>
      </c>
      <c r="E75" s="6">
        <f>D76</f>
        <v>42.01</v>
      </c>
      <c r="F75" s="6">
        <v>43.91</v>
      </c>
    </row>
    <row r="76" spans="1:6" x14ac:dyDescent="0.25">
      <c r="A76" s="85" t="s">
        <v>21</v>
      </c>
      <c r="B76" s="116"/>
      <c r="C76" s="6">
        <v>39.909999999999997</v>
      </c>
      <c r="D76" s="6">
        <v>42.01</v>
      </c>
      <c r="E76" s="6">
        <v>44.34</v>
      </c>
      <c r="F76" s="6">
        <v>44.92</v>
      </c>
    </row>
    <row r="77" spans="1:6" ht="33.75" x14ac:dyDescent="0.25">
      <c r="A77" s="71"/>
      <c r="B77" s="2" t="s">
        <v>51</v>
      </c>
      <c r="C77" s="1">
        <v>112.2</v>
      </c>
      <c r="D77" s="4">
        <f>(D75*6+D76*6)/(C75*6+C76*6)*100</f>
        <v>111.85144729655927</v>
      </c>
      <c r="E77" s="4">
        <f>(E75*6+E76*6)/(D75*6+D76*6)*100</f>
        <v>105.40771484375</v>
      </c>
      <c r="F77" s="4">
        <f>(F75*6+F76*6)/(E75*6+E76*6)*100</f>
        <v>102.87203242617255</v>
      </c>
    </row>
    <row r="78" spans="1:6" x14ac:dyDescent="0.25">
      <c r="A78" s="8" t="s">
        <v>101</v>
      </c>
      <c r="B78" s="69"/>
      <c r="C78" s="12"/>
      <c r="D78" s="4"/>
      <c r="E78" s="4"/>
      <c r="F78" s="1"/>
    </row>
    <row r="79" spans="1:6" x14ac:dyDescent="0.25">
      <c r="A79" s="85" t="s">
        <v>20</v>
      </c>
      <c r="B79" s="102" t="s">
        <v>58</v>
      </c>
      <c r="C79" s="14" t="s">
        <v>90</v>
      </c>
      <c r="D79" s="14" t="s">
        <v>90</v>
      </c>
      <c r="E79" s="14" t="s">
        <v>90</v>
      </c>
      <c r="F79" s="6" t="s">
        <v>90</v>
      </c>
    </row>
    <row r="80" spans="1:6" x14ac:dyDescent="0.25">
      <c r="A80" s="85" t="s">
        <v>21</v>
      </c>
      <c r="B80" s="104"/>
      <c r="C80" s="14" t="s">
        <v>90</v>
      </c>
      <c r="D80" s="14" t="s">
        <v>90</v>
      </c>
      <c r="E80" s="14" t="s">
        <v>90</v>
      </c>
      <c r="F80" s="6">
        <v>415.03</v>
      </c>
    </row>
    <row r="81" spans="1:6" ht="33.75" x14ac:dyDescent="0.25">
      <c r="A81" s="8"/>
      <c r="B81" s="2" t="s">
        <v>52</v>
      </c>
      <c r="C81" s="20" t="s">
        <v>100</v>
      </c>
      <c r="D81" s="20" t="s">
        <v>100</v>
      </c>
      <c r="E81" s="20" t="s">
        <v>100</v>
      </c>
      <c r="F81" s="20" t="s">
        <v>100</v>
      </c>
    </row>
    <row r="82" spans="1:6" x14ac:dyDescent="0.25">
      <c r="A82" s="109" t="s">
        <v>96</v>
      </c>
      <c r="B82" s="110"/>
      <c r="C82" s="110"/>
      <c r="D82" s="110"/>
      <c r="E82" s="110"/>
      <c r="F82" s="110"/>
    </row>
    <row r="83" spans="1:6" ht="33.75" x14ac:dyDescent="0.25">
      <c r="A83" s="8" t="s">
        <v>29</v>
      </c>
      <c r="B83" s="2" t="s">
        <v>59</v>
      </c>
      <c r="C83" s="11">
        <v>99.3</v>
      </c>
      <c r="D83" s="11">
        <v>94.2</v>
      </c>
      <c r="E83" s="12">
        <v>94.1</v>
      </c>
      <c r="F83" s="12">
        <v>95.4</v>
      </c>
    </row>
    <row r="84" spans="1:6" x14ac:dyDescent="0.25">
      <c r="A84" s="8" t="s">
        <v>61</v>
      </c>
      <c r="B84" s="2" t="s">
        <v>60</v>
      </c>
      <c r="C84" s="10">
        <v>8608</v>
      </c>
      <c r="D84" s="10">
        <v>8634</v>
      </c>
      <c r="E84" s="10">
        <v>8418</v>
      </c>
      <c r="F84" s="3">
        <f>E84*1.036</f>
        <v>8721.0480000000007</v>
      </c>
    </row>
    <row r="85" spans="1:6" ht="33.75" x14ac:dyDescent="0.25">
      <c r="A85" s="8" t="s">
        <v>65</v>
      </c>
      <c r="B85" s="2" t="s">
        <v>64</v>
      </c>
      <c r="C85" s="14">
        <v>10.5</v>
      </c>
      <c r="D85" s="14">
        <v>10.6</v>
      </c>
      <c r="E85" s="14">
        <v>10.9</v>
      </c>
      <c r="F85" s="14">
        <v>7.5</v>
      </c>
    </row>
    <row r="86" spans="1:6" x14ac:dyDescent="0.25">
      <c r="A86" s="107" t="s">
        <v>91</v>
      </c>
      <c r="B86" s="2" t="s">
        <v>37</v>
      </c>
      <c r="C86" s="12">
        <v>2652.5</v>
      </c>
      <c r="D86" s="12">
        <v>2715.5</v>
      </c>
      <c r="E86" s="12">
        <f>2733.1</f>
        <v>2733.1</v>
      </c>
      <c r="F86" s="1">
        <f>(2733.1+786.3)*1.089</f>
        <v>3832.6265999999996</v>
      </c>
    </row>
    <row r="87" spans="1:6" ht="33.75" x14ac:dyDescent="0.25">
      <c r="A87" s="124"/>
      <c r="B87" s="2" t="s">
        <v>59</v>
      </c>
      <c r="C87" s="1">
        <f>C86/2647.9*100</f>
        <v>100.1737225726047</v>
      </c>
      <c r="D87" s="1">
        <f>D86/C86*100</f>
        <v>102.3751178133836</v>
      </c>
      <c r="E87" s="1">
        <f>E86/D86*100</f>
        <v>100.64813109924506</v>
      </c>
      <c r="F87" s="20" t="s">
        <v>100</v>
      </c>
    </row>
    <row r="88" spans="1:6" x14ac:dyDescent="0.25">
      <c r="A88" s="112" t="s">
        <v>92</v>
      </c>
      <c r="B88" s="2" t="s">
        <v>60</v>
      </c>
      <c r="C88" s="9">
        <f>C86/C97/12*1000</f>
        <v>26112.423705453832</v>
      </c>
      <c r="D88" s="9">
        <f t="shared" ref="D88:E88" si="2">D86/D97/12*1000</f>
        <v>27211.600128266793</v>
      </c>
      <c r="E88" s="9">
        <f t="shared" si="2"/>
        <v>29506.196830332075</v>
      </c>
      <c r="F88" s="3">
        <f t="shared" ref="F88" si="3">F86/F97/12*1000</f>
        <v>32050.684319090331</v>
      </c>
    </row>
    <row r="89" spans="1:6" ht="33.75" x14ac:dyDescent="0.25">
      <c r="A89" s="113"/>
      <c r="B89" s="2" t="s">
        <v>59</v>
      </c>
      <c r="C89" s="1">
        <f>C88/24818*100</f>
        <v>105.21566486201077</v>
      </c>
      <c r="D89" s="1">
        <f>D88/C88*100</f>
        <v>104.20940022730785</v>
      </c>
      <c r="E89" s="1">
        <f>E88/D88*100</f>
        <v>108.43242106766704</v>
      </c>
      <c r="F89" s="20" t="s">
        <v>100</v>
      </c>
    </row>
    <row r="90" spans="1:6" x14ac:dyDescent="0.25">
      <c r="A90" s="107" t="s">
        <v>28</v>
      </c>
      <c r="B90" s="2" t="s">
        <v>60</v>
      </c>
      <c r="C90" s="14">
        <v>11856</v>
      </c>
      <c r="D90" s="14">
        <v>12208</v>
      </c>
      <c r="E90" s="78">
        <v>13093</v>
      </c>
      <c r="F90" s="3">
        <f>E90*F91/100</f>
        <v>13525.069</v>
      </c>
    </row>
    <row r="91" spans="1:6" ht="33.75" x14ac:dyDescent="0.25">
      <c r="A91" s="129"/>
      <c r="B91" s="2" t="s">
        <v>59</v>
      </c>
      <c r="C91" s="1">
        <f>C90/10669*100</f>
        <v>111.12569125503795</v>
      </c>
      <c r="D91" s="1">
        <f>D90/C90*100</f>
        <v>102.96896086369772</v>
      </c>
      <c r="E91" s="1">
        <f>E90/D90*100</f>
        <v>107.24934469200524</v>
      </c>
      <c r="F91" s="1">
        <v>103.3</v>
      </c>
    </row>
    <row r="92" spans="1:6" x14ac:dyDescent="0.25">
      <c r="A92" s="109" t="s">
        <v>97</v>
      </c>
      <c r="B92" s="110"/>
      <c r="C92" s="110"/>
      <c r="D92" s="110"/>
      <c r="E92" s="110"/>
      <c r="F92" s="110"/>
    </row>
    <row r="93" spans="1:6" x14ac:dyDescent="0.25">
      <c r="A93" s="107" t="s">
        <v>30</v>
      </c>
      <c r="B93" s="2" t="s">
        <v>50</v>
      </c>
      <c r="C93" s="1">
        <v>39.746000000000002</v>
      </c>
      <c r="D93" s="1">
        <v>39.284999999999997</v>
      </c>
      <c r="E93" s="1">
        <v>38.877000000000002</v>
      </c>
      <c r="F93" s="1">
        <f>(38.877+20.295)*0.998</f>
        <v>59.053656000000004</v>
      </c>
    </row>
    <row r="94" spans="1:6" ht="33.75" x14ac:dyDescent="0.25">
      <c r="A94" s="124"/>
      <c r="B94" s="2" t="s">
        <v>59</v>
      </c>
      <c r="C94" s="1">
        <f>C93/40.156*100</f>
        <v>98.978981970315786</v>
      </c>
      <c r="D94" s="1">
        <f>D93/C93*100</f>
        <v>98.840134856337741</v>
      </c>
      <c r="E94" s="1">
        <f>E93/D93*100</f>
        <v>98.961435662466599</v>
      </c>
      <c r="F94" s="20" t="s">
        <v>100</v>
      </c>
    </row>
    <row r="95" spans="1:6" x14ac:dyDescent="0.25">
      <c r="A95" s="107" t="s">
        <v>87</v>
      </c>
      <c r="B95" s="2" t="s">
        <v>50</v>
      </c>
      <c r="C95" s="1">
        <v>22.4</v>
      </c>
      <c r="D95" s="1">
        <v>21.561</v>
      </c>
      <c r="E95" s="1">
        <v>21.065999999999999</v>
      </c>
      <c r="F95" s="1">
        <f xml:space="preserve"> (20.535+10.409)*0.998</f>
        <v>30.882112000000003</v>
      </c>
    </row>
    <row r="96" spans="1:6" ht="33.75" x14ac:dyDescent="0.25">
      <c r="A96" s="130"/>
      <c r="B96" s="2" t="s">
        <v>59</v>
      </c>
      <c r="C96" s="1">
        <f>C95/22.877*100</f>
        <v>97.914936399003366</v>
      </c>
      <c r="D96" s="1">
        <f>D95/C95*100</f>
        <v>96.254464285714292</v>
      </c>
      <c r="E96" s="1">
        <f>E95/D95*100</f>
        <v>97.704188117434256</v>
      </c>
      <c r="F96" s="20" t="s">
        <v>100</v>
      </c>
    </row>
    <row r="97" spans="1:6" ht="25.5" x14ac:dyDescent="0.25">
      <c r="A97" s="8" t="s">
        <v>88</v>
      </c>
      <c r="B97" s="2" t="s">
        <v>50</v>
      </c>
      <c r="C97" s="1">
        <v>8.4649999999999999</v>
      </c>
      <c r="D97" s="1">
        <v>8.3160000000000007</v>
      </c>
      <c r="E97" s="1">
        <v>7.7190000000000003</v>
      </c>
      <c r="F97" s="1">
        <f>(7.719+2.276)*0.997</f>
        <v>9.9650150000000011</v>
      </c>
    </row>
    <row r="98" spans="1:6" x14ac:dyDescent="0.25">
      <c r="A98" s="97" t="s">
        <v>31</v>
      </c>
      <c r="B98" s="2" t="s">
        <v>50</v>
      </c>
      <c r="C98" s="1">
        <v>19.5</v>
      </c>
      <c r="D98" s="1">
        <v>19.399999999999999</v>
      </c>
      <c r="E98" s="1">
        <v>19.399999999999999</v>
      </c>
      <c r="F98" s="1">
        <f>E98*1.019</f>
        <v>19.768599999999996</v>
      </c>
    </row>
    <row r="99" spans="1:6" s="87" customFormat="1" x14ac:dyDescent="0.25">
      <c r="A99" s="8" t="s">
        <v>67</v>
      </c>
      <c r="B99" s="2" t="s">
        <v>15</v>
      </c>
      <c r="C99" s="14">
        <v>0.57999999999999996</v>
      </c>
      <c r="D99" s="14">
        <v>0.49</v>
      </c>
      <c r="E99" s="14">
        <v>0.56000000000000005</v>
      </c>
      <c r="F99" s="14">
        <v>0.53</v>
      </c>
    </row>
    <row r="100" spans="1:6" x14ac:dyDescent="0.25">
      <c r="A100" s="109" t="s">
        <v>98</v>
      </c>
      <c r="B100" s="110"/>
      <c r="C100" s="110"/>
      <c r="D100" s="110"/>
      <c r="E100" s="110"/>
      <c r="F100" s="110"/>
    </row>
    <row r="101" spans="1:6" ht="22.5" x14ac:dyDescent="0.25">
      <c r="A101" s="8" t="s">
        <v>77</v>
      </c>
      <c r="B101" s="2" t="s">
        <v>32</v>
      </c>
      <c r="C101" s="10">
        <v>717</v>
      </c>
      <c r="D101" s="10">
        <v>730</v>
      </c>
      <c r="E101" s="10">
        <v>684</v>
      </c>
      <c r="F101" s="10">
        <v>734</v>
      </c>
    </row>
    <row r="102" spans="1:6" ht="22.5" x14ac:dyDescent="0.25">
      <c r="A102" s="8" t="s">
        <v>72</v>
      </c>
      <c r="B102" s="2" t="s">
        <v>73</v>
      </c>
      <c r="C102" s="14">
        <v>64</v>
      </c>
      <c r="D102" s="14">
        <v>65</v>
      </c>
      <c r="E102" s="14">
        <v>65</v>
      </c>
      <c r="F102" s="14">
        <v>65</v>
      </c>
    </row>
    <row r="103" spans="1:6" ht="22.5" x14ac:dyDescent="0.25">
      <c r="A103" s="8" t="s">
        <v>74</v>
      </c>
      <c r="B103" s="2" t="s">
        <v>76</v>
      </c>
      <c r="C103" s="14">
        <v>23</v>
      </c>
      <c r="D103" s="14">
        <v>23</v>
      </c>
      <c r="E103" s="14">
        <v>21</v>
      </c>
      <c r="F103" s="14">
        <v>21</v>
      </c>
    </row>
    <row r="104" spans="1:6" ht="22.5" x14ac:dyDescent="0.25">
      <c r="A104" s="8" t="s">
        <v>75</v>
      </c>
      <c r="B104" s="2" t="s">
        <v>76</v>
      </c>
      <c r="C104" s="14">
        <v>56</v>
      </c>
      <c r="D104" s="14">
        <v>57</v>
      </c>
      <c r="E104" s="14">
        <v>55</v>
      </c>
      <c r="F104" s="14">
        <v>54</v>
      </c>
    </row>
    <row r="105" spans="1:6" x14ac:dyDescent="0.25">
      <c r="A105" s="8" t="s">
        <v>68</v>
      </c>
      <c r="B105" s="2" t="s">
        <v>66</v>
      </c>
      <c r="C105" s="3">
        <v>2329</v>
      </c>
      <c r="D105" s="3">
        <v>2351</v>
      </c>
      <c r="E105" s="3">
        <v>2385</v>
      </c>
      <c r="F105" s="24">
        <v>3095</v>
      </c>
    </row>
    <row r="106" spans="1:6" ht="25.5" x14ac:dyDescent="0.25">
      <c r="A106" s="8" t="s">
        <v>69</v>
      </c>
      <c r="B106" s="2" t="s">
        <v>105</v>
      </c>
      <c r="C106" s="3">
        <v>970</v>
      </c>
      <c r="D106" s="3">
        <v>970</v>
      </c>
      <c r="E106" s="3">
        <v>942</v>
      </c>
      <c r="F106" s="3">
        <v>855</v>
      </c>
    </row>
    <row r="107" spans="1:6" x14ac:dyDescent="0.25">
      <c r="A107" s="8" t="s">
        <v>70</v>
      </c>
      <c r="B107" s="69" t="s">
        <v>66</v>
      </c>
      <c r="C107" s="25">
        <v>4170</v>
      </c>
      <c r="D107" s="25">
        <v>4285</v>
      </c>
      <c r="E107" s="25">
        <v>4376</v>
      </c>
      <c r="F107" s="25">
        <v>5658</v>
      </c>
    </row>
    <row r="108" spans="1:6" x14ac:dyDescent="0.25">
      <c r="A108" s="91" t="s">
        <v>106</v>
      </c>
      <c r="B108" s="69" t="s">
        <v>66</v>
      </c>
      <c r="C108" s="25">
        <f>3716+401+1196</f>
        <v>5313</v>
      </c>
      <c r="D108" s="25">
        <f>2735+401+1236</f>
        <v>4372</v>
      </c>
      <c r="E108" s="25">
        <f>2319+402+1202</f>
        <v>3923</v>
      </c>
      <c r="F108" s="25">
        <f>3577+1046+402</f>
        <v>5025</v>
      </c>
    </row>
    <row r="109" spans="1:6" x14ac:dyDescent="0.25">
      <c r="A109" s="91" t="s">
        <v>71</v>
      </c>
      <c r="B109" s="69" t="s">
        <v>66</v>
      </c>
      <c r="C109" s="11">
        <v>791</v>
      </c>
      <c r="D109" s="11">
        <v>1311</v>
      </c>
      <c r="E109" s="11">
        <v>1383</v>
      </c>
      <c r="F109" s="11">
        <v>1275</v>
      </c>
    </row>
    <row r="110" spans="1:6" x14ac:dyDescent="0.25">
      <c r="A110" s="107" t="s">
        <v>104</v>
      </c>
      <c r="B110" s="2" t="s">
        <v>66</v>
      </c>
      <c r="C110" s="29" t="s">
        <v>100</v>
      </c>
      <c r="D110" s="29" t="s">
        <v>100</v>
      </c>
      <c r="E110" s="14">
        <v>1672</v>
      </c>
      <c r="F110" s="14">
        <v>2798</v>
      </c>
    </row>
    <row r="111" spans="1:6" ht="33.75" x14ac:dyDescent="0.25">
      <c r="A111" s="128"/>
      <c r="B111" s="2" t="s">
        <v>59</v>
      </c>
      <c r="C111" s="29" t="s">
        <v>100</v>
      </c>
      <c r="D111" s="29" t="s">
        <v>100</v>
      </c>
      <c r="E111" s="29" t="s">
        <v>100</v>
      </c>
      <c r="F111" s="29" t="s">
        <v>100</v>
      </c>
    </row>
    <row r="112" spans="1:6" x14ac:dyDescent="0.25">
      <c r="A112" s="107" t="s">
        <v>103</v>
      </c>
      <c r="B112" s="2" t="s">
        <v>66</v>
      </c>
      <c r="C112" s="14">
        <v>11425</v>
      </c>
      <c r="D112" s="14">
        <v>11430</v>
      </c>
      <c r="E112" s="14">
        <v>12100</v>
      </c>
      <c r="F112" s="25">
        <v>15850</v>
      </c>
    </row>
    <row r="113" spans="1:6" ht="33.75" x14ac:dyDescent="0.25">
      <c r="A113" s="128"/>
      <c r="B113" s="2" t="s">
        <v>59</v>
      </c>
      <c r="C113" s="1">
        <f>C112/11703*100</f>
        <v>97.624540716055705</v>
      </c>
      <c r="D113" s="1">
        <f>D112/C112*100</f>
        <v>100.0437636761488</v>
      </c>
      <c r="E113" s="1">
        <f>E112/D112*100</f>
        <v>105.86176727909012</v>
      </c>
      <c r="F113" s="29" t="s">
        <v>100</v>
      </c>
    </row>
    <row r="114" spans="1:6" x14ac:dyDescent="0.25">
      <c r="A114" s="107" t="s">
        <v>102</v>
      </c>
      <c r="B114" s="2" t="s">
        <v>50</v>
      </c>
      <c r="C114" s="14">
        <v>367.3</v>
      </c>
      <c r="D114" s="14">
        <v>383.2</v>
      </c>
      <c r="E114" s="14">
        <v>394.2</v>
      </c>
      <c r="F114" s="1">
        <v>505</v>
      </c>
    </row>
    <row r="115" spans="1:6" ht="33.75" x14ac:dyDescent="0.25">
      <c r="A115" s="128"/>
      <c r="B115" s="2" t="s">
        <v>59</v>
      </c>
      <c r="C115" s="1">
        <f>C114/342.5*100</f>
        <v>107.24087591240877</v>
      </c>
      <c r="D115" s="1">
        <f>D114/C114*100</f>
        <v>104.32888646882657</v>
      </c>
      <c r="E115" s="1">
        <f>E114/D114*100</f>
        <v>102.8705636743215</v>
      </c>
      <c r="F115" s="29" t="s">
        <v>100</v>
      </c>
    </row>
    <row r="116" spans="1:6" ht="15.75" x14ac:dyDescent="0.25">
      <c r="A116" s="98"/>
      <c r="B116" s="99"/>
      <c r="C116" s="99"/>
      <c r="D116" s="99"/>
      <c r="E116" s="99"/>
      <c r="F116" s="100"/>
    </row>
    <row r="117" spans="1:6" ht="15.75" x14ac:dyDescent="0.25">
      <c r="A117" s="101" t="s">
        <v>111</v>
      </c>
      <c r="B117" s="99"/>
      <c r="C117" s="99"/>
      <c r="D117" s="99"/>
      <c r="E117" s="99"/>
      <c r="F117" s="100"/>
    </row>
    <row r="118" spans="1:6" ht="15.75" x14ac:dyDescent="0.25">
      <c r="A118" s="101" t="s">
        <v>112</v>
      </c>
      <c r="B118" s="99"/>
      <c r="C118" s="99"/>
      <c r="D118" s="99"/>
      <c r="E118" s="99"/>
      <c r="F118" s="100"/>
    </row>
    <row r="120" spans="1:6" s="98" customFormat="1" ht="15.75" x14ac:dyDescent="0.25">
      <c r="A120" s="98" t="s">
        <v>196</v>
      </c>
      <c r="B120" s="99"/>
      <c r="C120" s="99"/>
      <c r="D120" s="99"/>
      <c r="E120" s="127" t="s">
        <v>197</v>
      </c>
      <c r="F120" s="127"/>
    </row>
    <row r="122" spans="1:6" x14ac:dyDescent="0.25">
      <c r="A122" s="101" t="s">
        <v>198</v>
      </c>
    </row>
  </sheetData>
  <mergeCells count="45">
    <mergeCell ref="A1:F1"/>
    <mergeCell ref="E120:F120"/>
    <mergeCell ref="A112:A113"/>
    <mergeCell ref="A114:A115"/>
    <mergeCell ref="A110:A111"/>
    <mergeCell ref="A90:A91"/>
    <mergeCell ref="A92:F92"/>
    <mergeCell ref="A93:A94"/>
    <mergeCell ref="A100:F100"/>
    <mergeCell ref="A95:A96"/>
    <mergeCell ref="A82:F82"/>
    <mergeCell ref="A86:A87"/>
    <mergeCell ref="A88:A89"/>
    <mergeCell ref="B79:B80"/>
    <mergeCell ref="B42:B43"/>
    <mergeCell ref="B45:B46"/>
    <mergeCell ref="B63:B64"/>
    <mergeCell ref="B67:B68"/>
    <mergeCell ref="B71:B72"/>
    <mergeCell ref="B75:B76"/>
    <mergeCell ref="A40:F40"/>
    <mergeCell ref="A49:F49"/>
    <mergeCell ref="A50:A51"/>
    <mergeCell ref="B54:B55"/>
    <mergeCell ref="A57:A58"/>
    <mergeCell ref="A59:A60"/>
    <mergeCell ref="A12:F12"/>
    <mergeCell ref="A3:A6"/>
    <mergeCell ref="B3:B6"/>
    <mergeCell ref="C3:E4"/>
    <mergeCell ref="F3:F6"/>
    <mergeCell ref="C5:C6"/>
    <mergeCell ref="B10:B11"/>
    <mergeCell ref="D5:D6"/>
    <mergeCell ref="E5:E6"/>
    <mergeCell ref="A8:F8"/>
    <mergeCell ref="B14:B15"/>
    <mergeCell ref="B38:B39"/>
    <mergeCell ref="A30:A31"/>
    <mergeCell ref="A32:A33"/>
    <mergeCell ref="A19:F19"/>
    <mergeCell ref="A22:A23"/>
    <mergeCell ref="A24:F24"/>
    <mergeCell ref="A27:F27"/>
    <mergeCell ref="A28:A29"/>
  </mergeCells>
  <conditionalFormatting sqref="A71:A72">
    <cfRule type="duplicateValues" dxfId="1" priority="2"/>
  </conditionalFormatting>
  <conditionalFormatting sqref="A75:A76">
    <cfRule type="duplicateValues" dxfId="0" priority="1"/>
  </conditionalFormatting>
  <printOptions horizontalCentered="1"/>
  <pageMargins left="0.39370078740157483" right="0.39370078740157483" top="0.98425196850393704" bottom="0.51181102362204722" header="0.51181102362204722" footer="0.51181102362204722"/>
  <pageSetup paperSize="9" fitToHeight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workbookViewId="0">
      <selection activeCell="I22" sqref="I22"/>
    </sheetView>
  </sheetViews>
  <sheetFormatPr defaultRowHeight="15" x14ac:dyDescent="0.25"/>
  <cols>
    <col min="1" max="1" width="53.42578125" customWidth="1"/>
    <col min="2" max="5" width="18.85546875" customWidth="1"/>
    <col min="6" max="6" width="17.85546875" customWidth="1"/>
  </cols>
  <sheetData>
    <row r="1" spans="1:6" x14ac:dyDescent="0.25">
      <c r="C1" s="131" t="s">
        <v>159</v>
      </c>
      <c r="D1" s="131"/>
      <c r="E1" s="131"/>
      <c r="F1" s="131"/>
    </row>
    <row r="2" spans="1:6" x14ac:dyDescent="0.25">
      <c r="B2" s="72" t="s">
        <v>180</v>
      </c>
      <c r="C2" s="72">
        <v>2014</v>
      </c>
      <c r="D2" s="72">
        <v>2015</v>
      </c>
      <c r="E2" s="72">
        <v>2016</v>
      </c>
      <c r="F2" s="72">
        <v>2017</v>
      </c>
    </row>
    <row r="3" spans="1:6" ht="18.75" x14ac:dyDescent="0.25">
      <c r="A3" s="73" t="s">
        <v>179</v>
      </c>
      <c r="B3" s="74" t="s">
        <v>90</v>
      </c>
      <c r="C3" s="74" t="s">
        <v>90</v>
      </c>
      <c r="D3" s="74" t="s">
        <v>90</v>
      </c>
      <c r="E3" s="74" t="s">
        <v>90</v>
      </c>
      <c r="F3" s="74" t="s">
        <v>90</v>
      </c>
    </row>
    <row r="4" spans="1:6" ht="18.75" x14ac:dyDescent="0.25">
      <c r="A4" s="73" t="s">
        <v>181</v>
      </c>
      <c r="B4" s="74" t="s">
        <v>182</v>
      </c>
      <c r="C4" s="74" t="s">
        <v>182</v>
      </c>
      <c r="D4" s="74" t="s">
        <v>182</v>
      </c>
      <c r="E4" s="74" t="s">
        <v>182</v>
      </c>
      <c r="F4" s="74" t="s">
        <v>182</v>
      </c>
    </row>
    <row r="5" spans="1:6" ht="18.75" x14ac:dyDescent="0.25">
      <c r="A5" s="73" t="s">
        <v>184</v>
      </c>
      <c r="B5" s="74" t="s">
        <v>182</v>
      </c>
      <c r="C5" s="74"/>
      <c r="D5" s="74"/>
      <c r="E5" s="74"/>
      <c r="F5" s="74" t="s">
        <v>182</v>
      </c>
    </row>
    <row r="6" spans="1:6" ht="18.75" x14ac:dyDescent="0.25">
      <c r="A6" s="73" t="s">
        <v>183</v>
      </c>
      <c r="B6" s="74" t="s">
        <v>182</v>
      </c>
      <c r="C6" s="74" t="s">
        <v>90</v>
      </c>
      <c r="D6" s="74" t="s">
        <v>90</v>
      </c>
      <c r="E6" s="74" t="s">
        <v>90</v>
      </c>
      <c r="F6" s="74" t="s">
        <v>90</v>
      </c>
    </row>
    <row r="7" spans="1:6" ht="18.75" x14ac:dyDescent="0.25">
      <c r="A7" s="73" t="s">
        <v>185</v>
      </c>
      <c r="B7" s="74" t="s">
        <v>182</v>
      </c>
      <c r="C7" s="74" t="s">
        <v>90</v>
      </c>
      <c r="D7" s="74" t="s">
        <v>90</v>
      </c>
      <c r="E7" s="74" t="s">
        <v>90</v>
      </c>
      <c r="F7" s="74"/>
    </row>
    <row r="8" spans="1:6" ht="18.75" x14ac:dyDescent="0.25">
      <c r="A8" s="73" t="s">
        <v>186</v>
      </c>
      <c r="B8" s="74" t="s">
        <v>182</v>
      </c>
      <c r="C8" s="74"/>
      <c r="D8" s="74" t="s">
        <v>182</v>
      </c>
      <c r="E8" s="74" t="s">
        <v>182</v>
      </c>
      <c r="F8" s="74" t="s">
        <v>182</v>
      </c>
    </row>
    <row r="9" spans="1:6" ht="18.75" x14ac:dyDescent="0.25">
      <c r="A9" s="73" t="s">
        <v>187</v>
      </c>
      <c r="B9" s="74" t="s">
        <v>182</v>
      </c>
      <c r="C9" s="74"/>
      <c r="D9" s="74"/>
      <c r="E9" s="74" t="s">
        <v>182</v>
      </c>
      <c r="F9" s="74" t="s">
        <v>182</v>
      </c>
    </row>
    <row r="10" spans="1:6" ht="18.75" x14ac:dyDescent="0.25">
      <c r="A10" s="73" t="s">
        <v>188</v>
      </c>
      <c r="B10" s="74" t="s">
        <v>182</v>
      </c>
      <c r="C10" s="74"/>
      <c r="D10" s="74"/>
      <c r="E10" s="74" t="s">
        <v>182</v>
      </c>
      <c r="F10" s="74" t="s">
        <v>182</v>
      </c>
    </row>
    <row r="11" spans="1:6" ht="18.75" x14ac:dyDescent="0.25">
      <c r="A11" s="73" t="s">
        <v>189</v>
      </c>
      <c r="B11" s="74" t="s">
        <v>182</v>
      </c>
      <c r="C11" s="74"/>
      <c r="D11" s="74"/>
      <c r="E11" s="74" t="s">
        <v>90</v>
      </c>
      <c r="F11" s="74" t="s">
        <v>90</v>
      </c>
    </row>
    <row r="12" spans="1:6" ht="18.75" x14ac:dyDescent="0.25">
      <c r="A12" s="73" t="s">
        <v>191</v>
      </c>
      <c r="B12" s="74" t="s">
        <v>190</v>
      </c>
      <c r="C12" s="74"/>
      <c r="D12" s="74"/>
      <c r="E12" s="74" t="s">
        <v>90</v>
      </c>
      <c r="F12" s="74"/>
    </row>
    <row r="13" spans="1:6" ht="18.75" x14ac:dyDescent="0.25">
      <c r="A13" s="73" t="s">
        <v>193</v>
      </c>
      <c r="B13" s="74" t="s">
        <v>182</v>
      </c>
      <c r="C13" s="74"/>
      <c r="D13" s="74"/>
      <c r="E13" s="74" t="s">
        <v>90</v>
      </c>
      <c r="F13" s="74"/>
    </row>
    <row r="14" spans="1:6" ht="18.75" x14ac:dyDescent="0.25">
      <c r="A14" s="73" t="s">
        <v>194</v>
      </c>
      <c r="B14" s="74" t="s">
        <v>182</v>
      </c>
      <c r="C14" s="74"/>
      <c r="D14" s="74"/>
      <c r="E14" s="74"/>
      <c r="F14" s="74" t="s">
        <v>90</v>
      </c>
    </row>
    <row r="15" spans="1:6" ht="18.75" x14ac:dyDescent="0.25">
      <c r="A15" s="73" t="s">
        <v>192</v>
      </c>
      <c r="B15" s="74" t="s">
        <v>182</v>
      </c>
      <c r="C15" s="74"/>
      <c r="D15" s="74"/>
      <c r="E15" s="74"/>
      <c r="F15" s="74" t="s">
        <v>182</v>
      </c>
    </row>
    <row r="16" spans="1:6" x14ac:dyDescent="0.25">
      <c r="A16" s="73"/>
      <c r="B16" s="72"/>
      <c r="C16" s="72"/>
      <c r="D16" s="72"/>
      <c r="E16" s="72"/>
      <c r="F16" s="72"/>
    </row>
    <row r="17" spans="1:6" x14ac:dyDescent="0.25">
      <c r="A17" s="73"/>
      <c r="B17" s="72"/>
      <c r="C17" s="72"/>
      <c r="D17" s="72"/>
      <c r="E17" s="72"/>
      <c r="F17" s="72"/>
    </row>
    <row r="18" spans="1:6" x14ac:dyDescent="0.25">
      <c r="A18" s="73"/>
      <c r="B18" s="72"/>
      <c r="C18" s="72"/>
      <c r="D18" s="72"/>
      <c r="E18" s="72"/>
      <c r="F18" s="72"/>
    </row>
    <row r="19" spans="1:6" x14ac:dyDescent="0.25">
      <c r="A19" s="73"/>
      <c r="B19" s="72"/>
      <c r="C19" s="72"/>
      <c r="D19" s="72"/>
      <c r="E19" s="72"/>
      <c r="F19" s="72"/>
    </row>
    <row r="20" spans="1:6" x14ac:dyDescent="0.25">
      <c r="A20" s="73"/>
      <c r="B20" s="72"/>
      <c r="C20" s="72"/>
      <c r="D20" s="72"/>
      <c r="E20" s="72"/>
      <c r="F20" s="72"/>
    </row>
    <row r="21" spans="1:6" x14ac:dyDescent="0.25">
      <c r="A21" s="73"/>
      <c r="B21" s="72"/>
      <c r="C21" s="72"/>
      <c r="D21" s="72"/>
      <c r="E21" s="72"/>
      <c r="F21" s="72"/>
    </row>
    <row r="22" spans="1:6" x14ac:dyDescent="0.25">
      <c r="A22" s="73"/>
      <c r="B22" s="72"/>
      <c r="C22" s="72"/>
      <c r="D22" s="72"/>
      <c r="E22" s="72"/>
      <c r="F22" s="72"/>
    </row>
    <row r="23" spans="1:6" x14ac:dyDescent="0.25">
      <c r="A23" s="73"/>
      <c r="B23" s="72"/>
      <c r="C23" s="72"/>
      <c r="D23" s="72"/>
      <c r="E23" s="72"/>
      <c r="F23" s="72"/>
    </row>
    <row r="24" spans="1:6" x14ac:dyDescent="0.25">
      <c r="A24" s="73"/>
      <c r="B24" s="72"/>
      <c r="C24" s="72"/>
      <c r="D24" s="72"/>
      <c r="E24" s="72"/>
      <c r="F24" s="72"/>
    </row>
  </sheetData>
  <mergeCells count="1">
    <mergeCell ref="C1:F1"/>
  </mergeCells>
  <pageMargins left="0.7" right="0.7" top="0.75" bottom="0.75" header="0.3" footer="0.3"/>
  <pageSetup paperSize="9" scale="8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0"/>
  <sheetViews>
    <sheetView topLeftCell="A19" workbookViewId="0">
      <selection activeCell="R36" sqref="R36"/>
    </sheetView>
  </sheetViews>
  <sheetFormatPr defaultRowHeight="15" x14ac:dyDescent="0.25"/>
  <cols>
    <col min="1" max="1" width="6.140625" style="31" customWidth="1"/>
    <col min="2" max="2" width="44.5703125" style="39" customWidth="1"/>
    <col min="3" max="3" width="14.28515625" style="31" customWidth="1"/>
    <col min="4" max="12" width="13.28515625" style="31" customWidth="1"/>
    <col min="13" max="16384" width="9.140625" style="31"/>
  </cols>
  <sheetData>
    <row r="1" spans="1:13" ht="15.75" x14ac:dyDescent="0.25">
      <c r="A1" s="132" t="s">
        <v>113</v>
      </c>
      <c r="B1" s="132" t="s">
        <v>114</v>
      </c>
      <c r="C1" s="136" t="s">
        <v>115</v>
      </c>
      <c r="D1" s="132" t="s">
        <v>159</v>
      </c>
      <c r="E1" s="132"/>
      <c r="F1" s="132" t="s">
        <v>86</v>
      </c>
      <c r="G1" s="132" t="s">
        <v>156</v>
      </c>
      <c r="H1" s="132"/>
      <c r="I1" s="132"/>
      <c r="J1" s="132"/>
      <c r="K1" s="132"/>
      <c r="L1" s="132"/>
      <c r="M1" s="30"/>
    </row>
    <row r="2" spans="1:13" ht="15.75" x14ac:dyDescent="0.25">
      <c r="A2" s="132"/>
      <c r="B2" s="132"/>
      <c r="C2" s="136"/>
      <c r="D2" s="132"/>
      <c r="E2" s="132"/>
      <c r="F2" s="132"/>
      <c r="G2" s="132" t="s">
        <v>80</v>
      </c>
      <c r="H2" s="132"/>
      <c r="I2" s="132" t="s">
        <v>81</v>
      </c>
      <c r="J2" s="132"/>
      <c r="K2" s="132" t="s">
        <v>82</v>
      </c>
      <c r="L2" s="132"/>
      <c r="M2" s="30"/>
    </row>
    <row r="3" spans="1:13" ht="15.75" x14ac:dyDescent="0.25">
      <c r="A3" s="132"/>
      <c r="B3" s="132"/>
      <c r="C3" s="136"/>
      <c r="D3" s="32" t="s">
        <v>84</v>
      </c>
      <c r="E3" s="32" t="s">
        <v>83</v>
      </c>
      <c r="F3" s="132"/>
      <c r="G3" s="32" t="s">
        <v>0</v>
      </c>
      <c r="H3" s="32" t="s">
        <v>1</v>
      </c>
      <c r="I3" s="32" t="s">
        <v>0</v>
      </c>
      <c r="J3" s="32" t="s">
        <v>1</v>
      </c>
      <c r="K3" s="32" t="s">
        <v>0</v>
      </c>
      <c r="L3" s="32" t="s">
        <v>1</v>
      </c>
      <c r="M3" s="33"/>
    </row>
    <row r="4" spans="1:13" ht="15.75" x14ac:dyDescent="0.25">
      <c r="A4" s="32">
        <v>1</v>
      </c>
      <c r="B4" s="32">
        <v>2</v>
      </c>
      <c r="C4" s="40">
        <v>3</v>
      </c>
      <c r="D4" s="32">
        <v>4</v>
      </c>
      <c r="E4" s="32">
        <v>5</v>
      </c>
      <c r="F4" s="32">
        <v>6</v>
      </c>
      <c r="G4" s="32">
        <v>7</v>
      </c>
      <c r="H4" s="32">
        <v>8</v>
      </c>
      <c r="I4" s="32">
        <v>9</v>
      </c>
      <c r="J4" s="32">
        <v>10</v>
      </c>
      <c r="K4" s="32">
        <v>11</v>
      </c>
      <c r="L4" s="32">
        <v>12</v>
      </c>
      <c r="M4" s="30"/>
    </row>
    <row r="5" spans="1:13" ht="15.75" x14ac:dyDescent="0.25">
      <c r="A5" s="132" t="s">
        <v>116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30"/>
    </row>
    <row r="6" spans="1:13" ht="15.75" x14ac:dyDescent="0.25">
      <c r="A6" s="132" t="s">
        <v>157</v>
      </c>
      <c r="B6" s="134" t="s">
        <v>117</v>
      </c>
      <c r="C6" s="40" t="s">
        <v>118</v>
      </c>
      <c r="D6" s="34">
        <v>10813.8</v>
      </c>
      <c r="E6" s="34">
        <v>9207</v>
      </c>
      <c r="F6" s="34">
        <v>12247.172</v>
      </c>
      <c r="G6" s="34">
        <v>13128.968384</v>
      </c>
      <c r="H6" s="34">
        <v>13165.709900000002</v>
      </c>
      <c r="I6" s="34">
        <v>14061.125139263997</v>
      </c>
      <c r="J6" s="34">
        <v>14205.800982100003</v>
      </c>
      <c r="K6" s="34">
        <v>15059.465024151741</v>
      </c>
      <c r="L6" s="34">
        <v>15328.059259685902</v>
      </c>
      <c r="M6" s="30"/>
    </row>
    <row r="7" spans="1:13" ht="45" x14ac:dyDescent="0.25">
      <c r="A7" s="132"/>
      <c r="B7" s="134"/>
      <c r="C7" s="40" t="s">
        <v>45</v>
      </c>
      <c r="D7" s="34">
        <v>118.16810910044583</v>
      </c>
      <c r="E7" s="34">
        <v>85.141208455861957</v>
      </c>
      <c r="F7" s="34" t="s">
        <v>100</v>
      </c>
      <c r="G7" s="34">
        <v>107.2</v>
      </c>
      <c r="H7" s="34">
        <v>107.5</v>
      </c>
      <c r="I7" s="34">
        <v>107.1</v>
      </c>
      <c r="J7" s="34">
        <v>107.9</v>
      </c>
      <c r="K7" s="34">
        <v>107.1</v>
      </c>
      <c r="L7" s="34">
        <v>107.9</v>
      </c>
      <c r="M7" s="30"/>
    </row>
    <row r="8" spans="1:13" ht="15.75" x14ac:dyDescent="0.25">
      <c r="A8" s="132" t="s">
        <v>119</v>
      </c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30"/>
    </row>
    <row r="9" spans="1:13" ht="15.75" x14ac:dyDescent="0.25">
      <c r="A9" s="132" t="s">
        <v>158</v>
      </c>
      <c r="B9" s="134" t="s">
        <v>36</v>
      </c>
      <c r="C9" s="40" t="s">
        <v>118</v>
      </c>
      <c r="D9" s="32" t="s">
        <v>90</v>
      </c>
      <c r="E9" s="32" t="s">
        <v>90</v>
      </c>
      <c r="F9" s="34">
        <v>383.64000000000004</v>
      </c>
      <c r="G9" s="34">
        <v>388.24368000000004</v>
      </c>
      <c r="H9" s="34">
        <v>408.57660000000004</v>
      </c>
      <c r="I9" s="34">
        <v>394.45557888000002</v>
      </c>
      <c r="J9" s="34">
        <v>433.49977259999997</v>
      </c>
      <c r="K9" s="34">
        <v>413.78390224512003</v>
      </c>
      <c r="L9" s="34">
        <v>458.64275941080001</v>
      </c>
      <c r="M9" s="30"/>
    </row>
    <row r="10" spans="1:13" ht="45" x14ac:dyDescent="0.25">
      <c r="A10" s="132"/>
      <c r="B10" s="134"/>
      <c r="C10" s="40" t="s">
        <v>45</v>
      </c>
      <c r="D10" s="32" t="s">
        <v>90</v>
      </c>
      <c r="E10" s="32" t="s">
        <v>90</v>
      </c>
      <c r="F10" s="32" t="s">
        <v>100</v>
      </c>
      <c r="G10" s="32">
        <v>101.2</v>
      </c>
      <c r="H10" s="32">
        <v>106.5</v>
      </c>
      <c r="I10" s="32">
        <v>101.6</v>
      </c>
      <c r="J10" s="32">
        <v>106.1</v>
      </c>
      <c r="K10" s="32">
        <v>104.9</v>
      </c>
      <c r="L10" s="32">
        <v>105.8</v>
      </c>
      <c r="M10" s="30"/>
    </row>
    <row r="11" spans="1:13" ht="15.75" x14ac:dyDescent="0.25">
      <c r="A11" s="132" t="s">
        <v>120</v>
      </c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  <c r="M11" s="30"/>
    </row>
    <row r="12" spans="1:13" ht="15.75" x14ac:dyDescent="0.25">
      <c r="A12" s="132" t="s">
        <v>121</v>
      </c>
      <c r="B12" s="134" t="s">
        <v>175</v>
      </c>
      <c r="C12" s="40" t="s">
        <v>118</v>
      </c>
      <c r="D12" s="32" t="s">
        <v>160</v>
      </c>
      <c r="E12" s="32" t="s">
        <v>160</v>
      </c>
      <c r="F12" s="32" t="s">
        <v>160</v>
      </c>
      <c r="G12" s="32" t="s">
        <v>90</v>
      </c>
      <c r="H12" s="32" t="s">
        <v>90</v>
      </c>
      <c r="I12" s="32" t="s">
        <v>90</v>
      </c>
      <c r="J12" s="32" t="s">
        <v>90</v>
      </c>
      <c r="K12" s="32" t="s">
        <v>90</v>
      </c>
      <c r="L12" s="32" t="s">
        <v>90</v>
      </c>
      <c r="M12" s="30"/>
    </row>
    <row r="13" spans="1:13" ht="45" x14ac:dyDescent="0.25">
      <c r="A13" s="132"/>
      <c r="B13" s="134"/>
      <c r="C13" s="40" t="s">
        <v>45</v>
      </c>
      <c r="D13" s="32" t="s">
        <v>90</v>
      </c>
      <c r="E13" s="32" t="s">
        <v>90</v>
      </c>
      <c r="F13" s="32" t="s">
        <v>90</v>
      </c>
      <c r="G13" s="32" t="s">
        <v>90</v>
      </c>
      <c r="H13" s="32" t="s">
        <v>90</v>
      </c>
      <c r="I13" s="32" t="s">
        <v>90</v>
      </c>
      <c r="J13" s="32" t="s">
        <v>90</v>
      </c>
      <c r="K13" s="32" t="s">
        <v>90</v>
      </c>
      <c r="L13" s="32" t="s">
        <v>90</v>
      </c>
      <c r="M13" s="30"/>
    </row>
    <row r="14" spans="1:13" ht="45" x14ac:dyDescent="0.25">
      <c r="A14" s="32" t="s">
        <v>122</v>
      </c>
      <c r="B14" s="35" t="s">
        <v>123</v>
      </c>
      <c r="C14" s="40" t="s">
        <v>124</v>
      </c>
      <c r="D14" s="34">
        <v>23.683</v>
      </c>
      <c r="E14" s="34">
        <v>11.465999999999999</v>
      </c>
      <c r="F14" s="34">
        <v>30.335480000000004</v>
      </c>
      <c r="G14" s="34">
        <v>33.733053760000004</v>
      </c>
      <c r="H14" s="34">
        <v>37.464317800000011</v>
      </c>
      <c r="I14" s="34">
        <v>39.096609307840005</v>
      </c>
      <c r="J14" s="34">
        <v>43.421144330200015</v>
      </c>
      <c r="K14" s="34">
        <v>44.452844783014086</v>
      </c>
      <c r="L14" s="34">
        <v>49.369841103437416</v>
      </c>
      <c r="M14" s="30"/>
    </row>
    <row r="15" spans="1:13" ht="15.75" x14ac:dyDescent="0.25">
      <c r="A15" s="132" t="s">
        <v>176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30"/>
    </row>
    <row r="16" spans="1:13" ht="31.5" x14ac:dyDescent="0.25">
      <c r="A16" s="32" t="s">
        <v>125</v>
      </c>
      <c r="B16" s="35" t="s">
        <v>126</v>
      </c>
      <c r="C16" s="40" t="s">
        <v>49</v>
      </c>
      <c r="D16" s="32">
        <f>70+540</f>
        <v>610</v>
      </c>
      <c r="E16" s="32">
        <f>72+539</f>
        <v>611</v>
      </c>
      <c r="F16" s="32" t="s">
        <v>90</v>
      </c>
      <c r="G16" s="32" t="s">
        <v>90</v>
      </c>
      <c r="H16" s="32" t="s">
        <v>90</v>
      </c>
      <c r="I16" s="32" t="s">
        <v>90</v>
      </c>
      <c r="J16" s="32" t="s">
        <v>90</v>
      </c>
      <c r="K16" s="32" t="s">
        <v>90</v>
      </c>
      <c r="L16" s="32" t="s">
        <v>90</v>
      </c>
      <c r="M16" s="30"/>
    </row>
    <row r="17" spans="1:13" ht="63" x14ac:dyDescent="0.25">
      <c r="A17" s="32" t="s">
        <v>127</v>
      </c>
      <c r="B17" s="35" t="s">
        <v>128</v>
      </c>
      <c r="C17" s="40" t="s">
        <v>50</v>
      </c>
      <c r="D17" s="32">
        <v>2.927</v>
      </c>
      <c r="E17" s="32">
        <v>3.34</v>
      </c>
      <c r="F17" s="32" t="s">
        <v>90</v>
      </c>
      <c r="G17" s="32" t="s">
        <v>90</v>
      </c>
      <c r="H17" s="32" t="s">
        <v>90</v>
      </c>
      <c r="I17" s="32" t="s">
        <v>90</v>
      </c>
      <c r="J17" s="32" t="s">
        <v>90</v>
      </c>
      <c r="K17" s="32" t="s">
        <v>90</v>
      </c>
      <c r="L17" s="32" t="s">
        <v>90</v>
      </c>
      <c r="M17" s="30"/>
    </row>
    <row r="18" spans="1:13" ht="15.75" x14ac:dyDescent="0.25">
      <c r="A18" s="132" t="s">
        <v>129</v>
      </c>
      <c r="B18" s="134" t="s">
        <v>130</v>
      </c>
      <c r="C18" s="40" t="s">
        <v>118</v>
      </c>
      <c r="D18" s="32">
        <v>7327.4</v>
      </c>
      <c r="E18" s="32">
        <v>9192.4</v>
      </c>
      <c r="F18" s="32" t="s">
        <v>90</v>
      </c>
      <c r="G18" s="32" t="s">
        <v>90</v>
      </c>
      <c r="H18" s="32" t="s">
        <v>90</v>
      </c>
      <c r="I18" s="32" t="s">
        <v>90</v>
      </c>
      <c r="J18" s="32" t="s">
        <v>90</v>
      </c>
      <c r="K18" s="32" t="s">
        <v>90</v>
      </c>
      <c r="L18" s="32" t="s">
        <v>90</v>
      </c>
      <c r="M18" s="30"/>
    </row>
    <row r="19" spans="1:13" ht="45" x14ac:dyDescent="0.25">
      <c r="A19" s="132"/>
      <c r="B19" s="134"/>
      <c r="C19" s="40" t="s">
        <v>45</v>
      </c>
      <c r="D19" s="36">
        <f>D18/6126.9*100</f>
        <v>119.59392188545594</v>
      </c>
      <c r="E19" s="34">
        <f>E18/D18*100</f>
        <v>125.45241149657451</v>
      </c>
      <c r="F19" s="32" t="s">
        <v>90</v>
      </c>
      <c r="G19" s="32" t="s">
        <v>90</v>
      </c>
      <c r="H19" s="32" t="s">
        <v>90</v>
      </c>
      <c r="I19" s="32" t="s">
        <v>90</v>
      </c>
      <c r="J19" s="32" t="s">
        <v>90</v>
      </c>
      <c r="K19" s="32" t="s">
        <v>90</v>
      </c>
      <c r="L19" s="32" t="s">
        <v>90</v>
      </c>
      <c r="M19" s="30"/>
    </row>
    <row r="20" spans="1:13" ht="15.75" x14ac:dyDescent="0.25">
      <c r="A20" s="132" t="s">
        <v>131</v>
      </c>
      <c r="B20" s="132"/>
      <c r="C20" s="132"/>
      <c r="D20" s="132"/>
      <c r="E20" s="132"/>
      <c r="F20" s="132"/>
      <c r="G20" s="132"/>
      <c r="H20" s="132"/>
      <c r="I20" s="132"/>
      <c r="J20" s="132"/>
      <c r="K20" s="132"/>
      <c r="L20" s="132"/>
      <c r="M20" s="30"/>
    </row>
    <row r="21" spans="1:13" ht="15.75" x14ac:dyDescent="0.25">
      <c r="A21" s="132" t="s">
        <v>132</v>
      </c>
      <c r="B21" s="134" t="s">
        <v>133</v>
      </c>
      <c r="C21" s="40" t="s">
        <v>118</v>
      </c>
      <c r="D21" s="34">
        <v>6829.2</v>
      </c>
      <c r="E21" s="34">
        <v>7744.1</v>
      </c>
      <c r="F21" s="34">
        <v>10296.962</v>
      </c>
      <c r="G21" s="34">
        <v>11058.937188</v>
      </c>
      <c r="H21" s="34">
        <v>11244.282504000001</v>
      </c>
      <c r="I21" s="34">
        <v>12109.53622086</v>
      </c>
      <c r="J21" s="34">
        <v>12661.062099504001</v>
      </c>
      <c r="K21" s="34">
        <v>13005.64190120364</v>
      </c>
      <c r="L21" s="34">
        <v>14357.64442083754</v>
      </c>
      <c r="M21" s="30"/>
    </row>
    <row r="22" spans="1:13" ht="75" x14ac:dyDescent="0.25">
      <c r="A22" s="132"/>
      <c r="B22" s="134"/>
      <c r="C22" s="40" t="s">
        <v>134</v>
      </c>
      <c r="D22" s="34">
        <v>92.252826671349638</v>
      </c>
      <c r="E22" s="34">
        <v>113.39688396883969</v>
      </c>
      <c r="F22" s="34" t="s">
        <v>100</v>
      </c>
      <c r="G22" s="34">
        <v>107.4</v>
      </c>
      <c r="H22" s="34">
        <v>109.2</v>
      </c>
      <c r="I22" s="34">
        <v>109.5</v>
      </c>
      <c r="J22" s="34">
        <v>112.6</v>
      </c>
      <c r="K22" s="34">
        <v>107.4</v>
      </c>
      <c r="L22" s="34">
        <v>113.4</v>
      </c>
      <c r="M22" s="30"/>
    </row>
    <row r="23" spans="1:13" ht="15.75" x14ac:dyDescent="0.25">
      <c r="A23" s="132" t="s">
        <v>135</v>
      </c>
      <c r="B23" s="134" t="s">
        <v>3</v>
      </c>
      <c r="C23" s="40" t="s">
        <v>118</v>
      </c>
      <c r="D23" s="34">
        <v>314</v>
      </c>
      <c r="E23" s="34">
        <v>297.2</v>
      </c>
      <c r="F23" s="34">
        <v>404.50110000000001</v>
      </c>
      <c r="G23" s="34">
        <v>434.02968029999994</v>
      </c>
      <c r="H23" s="34">
        <v>439.69269570000006</v>
      </c>
      <c r="I23" s="34">
        <v>477.86667801029989</v>
      </c>
      <c r="J23" s="34">
        <v>492.45581918400006</v>
      </c>
      <c r="K23" s="34">
        <v>518.4853456411754</v>
      </c>
      <c r="L23" s="34">
        <v>553.52034076281609</v>
      </c>
      <c r="M23" s="30"/>
    </row>
    <row r="24" spans="1:13" ht="75" x14ac:dyDescent="0.25">
      <c r="A24" s="132"/>
      <c r="B24" s="134"/>
      <c r="C24" s="40" t="s">
        <v>134</v>
      </c>
      <c r="D24" s="34">
        <v>110.36906854130054</v>
      </c>
      <c r="E24" s="34">
        <v>94.649681528662427</v>
      </c>
      <c r="F24" s="34" t="s">
        <v>100</v>
      </c>
      <c r="G24" s="34">
        <v>107.3</v>
      </c>
      <c r="H24" s="34">
        <v>108.7</v>
      </c>
      <c r="I24" s="34">
        <v>110.1</v>
      </c>
      <c r="J24" s="34">
        <v>112</v>
      </c>
      <c r="K24" s="34">
        <v>108.5</v>
      </c>
      <c r="L24" s="34">
        <v>112.4</v>
      </c>
      <c r="M24" s="30"/>
    </row>
    <row r="25" spans="1:13" ht="15.75" x14ac:dyDescent="0.25">
      <c r="A25" s="132" t="s">
        <v>136</v>
      </c>
      <c r="B25" s="132"/>
      <c r="C25" s="132"/>
      <c r="D25" s="132"/>
      <c r="E25" s="132"/>
      <c r="F25" s="132"/>
      <c r="G25" s="132"/>
      <c r="H25" s="132"/>
      <c r="I25" s="132"/>
      <c r="J25" s="132"/>
      <c r="K25" s="132"/>
      <c r="L25" s="132"/>
      <c r="M25" s="30"/>
    </row>
    <row r="26" spans="1:13" ht="15.75" x14ac:dyDescent="0.25">
      <c r="A26" s="132" t="s">
        <v>137</v>
      </c>
      <c r="B26" s="134" t="s">
        <v>40</v>
      </c>
      <c r="C26" s="40" t="s">
        <v>118</v>
      </c>
      <c r="D26" s="34">
        <v>93.5</v>
      </c>
      <c r="E26" s="34">
        <v>224.5</v>
      </c>
      <c r="F26" s="34">
        <v>423.22500000000002</v>
      </c>
      <c r="G26" s="34">
        <v>520.56675000000007</v>
      </c>
      <c r="H26" s="34">
        <v>324.19035000000002</v>
      </c>
      <c r="I26" s="34">
        <v>515.36108250000007</v>
      </c>
      <c r="J26" s="34">
        <v>373.79147355000003</v>
      </c>
      <c r="K26" s="34">
        <v>510.20747167500008</v>
      </c>
      <c r="L26" s="34">
        <v>349.1212362957001</v>
      </c>
      <c r="M26" s="30"/>
    </row>
    <row r="27" spans="1:13" ht="45" x14ac:dyDescent="0.25">
      <c r="A27" s="132"/>
      <c r="B27" s="134"/>
      <c r="C27" s="40" t="s">
        <v>45</v>
      </c>
      <c r="D27" s="34">
        <v>53.673938002296218</v>
      </c>
      <c r="E27" s="34">
        <v>240.10695187165774</v>
      </c>
      <c r="F27" s="34" t="s">
        <v>100</v>
      </c>
      <c r="G27" s="34">
        <v>123</v>
      </c>
      <c r="H27" s="34">
        <v>76.599999999999994</v>
      </c>
      <c r="I27" s="34">
        <v>99</v>
      </c>
      <c r="J27" s="34">
        <v>115.3</v>
      </c>
      <c r="K27" s="34">
        <v>99</v>
      </c>
      <c r="L27" s="34">
        <v>93.4</v>
      </c>
      <c r="M27" s="30"/>
    </row>
    <row r="28" spans="1:13" ht="15.75" x14ac:dyDescent="0.25">
      <c r="A28" s="132" t="s">
        <v>138</v>
      </c>
      <c r="B28" s="134" t="s">
        <v>41</v>
      </c>
      <c r="C28" s="40" t="s">
        <v>118</v>
      </c>
      <c r="D28" s="34">
        <v>407.6</v>
      </c>
      <c r="E28" s="34">
        <v>432.8</v>
      </c>
      <c r="F28" s="34">
        <v>527.57100000000003</v>
      </c>
      <c r="G28" s="34">
        <v>521.76771900000006</v>
      </c>
      <c r="H28" s="34">
        <v>577.690245</v>
      </c>
      <c r="I28" s="34">
        <v>550.98671126400006</v>
      </c>
      <c r="J28" s="34">
        <v>641.81386219499996</v>
      </c>
      <c r="K28" s="34">
        <v>580.73999367225611</v>
      </c>
      <c r="L28" s="34">
        <v>712.41338703644999</v>
      </c>
      <c r="M28" s="30"/>
    </row>
    <row r="29" spans="1:13" ht="45" x14ac:dyDescent="0.25">
      <c r="A29" s="132"/>
      <c r="B29" s="134"/>
      <c r="C29" s="40" t="s">
        <v>45</v>
      </c>
      <c r="D29" s="34">
        <v>63.598065220783283</v>
      </c>
      <c r="E29" s="34">
        <v>106.18253189401375</v>
      </c>
      <c r="F29" s="34" t="s">
        <v>100</v>
      </c>
      <c r="G29" s="34">
        <v>98.9</v>
      </c>
      <c r="H29" s="34">
        <v>109.5</v>
      </c>
      <c r="I29" s="34">
        <v>105.6</v>
      </c>
      <c r="J29" s="34">
        <v>111.1</v>
      </c>
      <c r="K29" s="34">
        <v>105.4</v>
      </c>
      <c r="L29" s="34">
        <v>111</v>
      </c>
      <c r="M29" s="30"/>
    </row>
    <row r="30" spans="1:13" ht="15.75" x14ac:dyDescent="0.25">
      <c r="A30" s="132" t="s">
        <v>139</v>
      </c>
      <c r="B30" s="132"/>
      <c r="C30" s="132"/>
      <c r="D30" s="132"/>
      <c r="E30" s="132"/>
      <c r="F30" s="132"/>
      <c r="G30" s="132"/>
      <c r="H30" s="132"/>
      <c r="I30" s="132"/>
      <c r="J30" s="132"/>
      <c r="K30" s="132"/>
      <c r="L30" s="132"/>
      <c r="M30" s="30"/>
    </row>
    <row r="31" spans="1:13" ht="15.75" x14ac:dyDescent="0.25">
      <c r="A31" s="132"/>
      <c r="B31" s="134" t="s">
        <v>140</v>
      </c>
      <c r="C31" s="40" t="s">
        <v>118</v>
      </c>
      <c r="D31" s="34">
        <v>955.7</v>
      </c>
      <c r="E31" s="34">
        <v>764.1</v>
      </c>
      <c r="F31" s="34">
        <v>1054.7478000000001</v>
      </c>
      <c r="G31" s="34">
        <v>1113.8136768000002</v>
      </c>
      <c r="H31" s="34">
        <v>1125.4159026000002</v>
      </c>
      <c r="I31" s="34">
        <v>1177.3010563776002</v>
      </c>
      <c r="J31" s="34">
        <v>1222.2016702236003</v>
      </c>
      <c r="K31" s="34">
        <v>1244.4072165911234</v>
      </c>
      <c r="L31" s="34">
        <v>1327.3110138628299</v>
      </c>
      <c r="M31" s="30"/>
    </row>
    <row r="32" spans="1:13" ht="45" x14ac:dyDescent="0.25">
      <c r="A32" s="132"/>
      <c r="B32" s="134"/>
      <c r="C32" s="40" t="s">
        <v>45</v>
      </c>
      <c r="D32" s="34">
        <v>123.5872235872236</v>
      </c>
      <c r="E32" s="34">
        <v>79.951867740922879</v>
      </c>
      <c r="F32" s="34" t="s">
        <v>100</v>
      </c>
      <c r="G32" s="34">
        <v>105.6</v>
      </c>
      <c r="H32" s="34">
        <v>106.7</v>
      </c>
      <c r="I32" s="34">
        <v>105.7</v>
      </c>
      <c r="J32" s="34">
        <v>108.6</v>
      </c>
      <c r="K32" s="34">
        <v>105.7</v>
      </c>
      <c r="L32" s="34">
        <v>108.6</v>
      </c>
      <c r="M32" s="30"/>
    </row>
    <row r="33" spans="1:13" ht="15.75" x14ac:dyDescent="0.25">
      <c r="A33" s="132" t="s">
        <v>141</v>
      </c>
      <c r="B33" s="132"/>
      <c r="C33" s="132"/>
      <c r="D33" s="132"/>
      <c r="E33" s="132"/>
      <c r="F33" s="132"/>
      <c r="G33" s="132"/>
      <c r="H33" s="132"/>
      <c r="I33" s="132"/>
      <c r="J33" s="132"/>
      <c r="K33" s="132"/>
      <c r="L33" s="132"/>
      <c r="M33" s="30"/>
    </row>
    <row r="34" spans="1:13" ht="15.75" x14ac:dyDescent="0.25">
      <c r="A34" s="132" t="s">
        <v>142</v>
      </c>
      <c r="B34" s="134" t="s">
        <v>178</v>
      </c>
      <c r="C34" s="40" t="s">
        <v>118</v>
      </c>
      <c r="D34" s="34">
        <f>(2715523.4+530143.9+174325.2)/1000</f>
        <v>3419.9924999999998</v>
      </c>
      <c r="E34" s="34">
        <f>2733.0882+674.345+230.7541</f>
        <v>3638.1873000000005</v>
      </c>
      <c r="F34" s="34">
        <v>3832.6265999999996</v>
      </c>
      <c r="G34" s="34">
        <v>3997.4295437999995</v>
      </c>
      <c r="H34" s="34">
        <v>4127.7388481999997</v>
      </c>
      <c r="I34" s="34">
        <v>4193.3035914461998</v>
      </c>
      <c r="J34" s="34">
        <v>4437.3192618149997</v>
      </c>
      <c r="K34" s="34">
        <v>4415.5486817928486</v>
      </c>
      <c r="L34" s="34">
        <v>4805.6167605456449</v>
      </c>
      <c r="M34" s="30"/>
    </row>
    <row r="35" spans="1:13" ht="45" x14ac:dyDescent="0.25">
      <c r="A35" s="132"/>
      <c r="B35" s="134"/>
      <c r="C35" s="40" t="s">
        <v>45</v>
      </c>
      <c r="D35" s="36">
        <f>D34/3324.3*100</f>
        <v>102.87857594079956</v>
      </c>
      <c r="E35" s="34">
        <f>E34/D34*100</f>
        <v>106.37997890346253</v>
      </c>
      <c r="F35" s="34" t="s">
        <v>100</v>
      </c>
      <c r="G35" s="34">
        <v>104.3</v>
      </c>
      <c r="H35" s="34">
        <v>107.7</v>
      </c>
      <c r="I35" s="34">
        <v>104.9</v>
      </c>
      <c r="J35" s="34">
        <v>107.5</v>
      </c>
      <c r="K35" s="34">
        <v>105.3</v>
      </c>
      <c r="L35" s="34">
        <v>108.3</v>
      </c>
      <c r="M35" s="30"/>
    </row>
    <row r="36" spans="1:13" ht="15.75" x14ac:dyDescent="0.25">
      <c r="A36" s="132" t="s">
        <v>143</v>
      </c>
      <c r="B36" s="134" t="s">
        <v>161</v>
      </c>
      <c r="C36" s="40" t="s">
        <v>60</v>
      </c>
      <c r="D36" s="37">
        <v>25349</v>
      </c>
      <c r="E36" s="32">
        <v>27212</v>
      </c>
      <c r="F36" s="41">
        <v>32050.684319090331</v>
      </c>
      <c r="G36" s="41">
        <v>33495.855455722653</v>
      </c>
      <c r="H36" s="41">
        <v>34553.140151812098</v>
      </c>
      <c r="I36" s="41">
        <v>35172.324697750817</v>
      </c>
      <c r="J36" s="41">
        <v>37070.484693810395</v>
      </c>
      <c r="K36" s="41">
        <v>36999.458448283338</v>
      </c>
      <c r="L36" s="41">
        <v>39947.596938703144</v>
      </c>
      <c r="M36" s="30"/>
    </row>
    <row r="37" spans="1:13" ht="45" x14ac:dyDescent="0.25">
      <c r="A37" s="132"/>
      <c r="B37" s="134"/>
      <c r="C37" s="40" t="s">
        <v>45</v>
      </c>
      <c r="D37" s="36">
        <f>D36/23686.1*100</f>
        <v>107.02057324760092</v>
      </c>
      <c r="E37" s="34">
        <f>E36/D36*100</f>
        <v>107.34940234328772</v>
      </c>
      <c r="F37" s="34" t="s">
        <v>100</v>
      </c>
      <c r="G37" s="34">
        <v>104.50901803607211</v>
      </c>
      <c r="H37" s="34">
        <v>107.80780780780781</v>
      </c>
      <c r="I37" s="34">
        <v>105.00500500500503</v>
      </c>
      <c r="J37" s="34">
        <v>107.28542914171659</v>
      </c>
      <c r="K37" s="34">
        <v>105.19480519480521</v>
      </c>
      <c r="L37" s="34">
        <v>107.76119402985076</v>
      </c>
      <c r="M37" s="30"/>
    </row>
    <row r="38" spans="1:13" ht="15.75" x14ac:dyDescent="0.25">
      <c r="A38" s="132" t="s">
        <v>144</v>
      </c>
      <c r="B38" s="132"/>
      <c r="C38" s="132"/>
      <c r="D38" s="132"/>
      <c r="E38" s="132"/>
      <c r="F38" s="132"/>
      <c r="G38" s="132"/>
      <c r="H38" s="132"/>
      <c r="I38" s="132"/>
      <c r="J38" s="132"/>
      <c r="K38" s="132"/>
      <c r="L38" s="132"/>
      <c r="M38" s="30"/>
    </row>
    <row r="39" spans="1:13" ht="31.5" x14ac:dyDescent="0.25">
      <c r="A39" s="32" t="s">
        <v>145</v>
      </c>
      <c r="B39" s="35" t="s">
        <v>177</v>
      </c>
      <c r="C39" s="40" t="s">
        <v>50</v>
      </c>
      <c r="D39" s="32">
        <v>19.2</v>
      </c>
      <c r="E39" s="37" t="s">
        <v>90</v>
      </c>
      <c r="F39" s="37" t="s">
        <v>90</v>
      </c>
      <c r="G39" s="37" t="s">
        <v>90</v>
      </c>
      <c r="H39" s="37" t="s">
        <v>90</v>
      </c>
      <c r="I39" s="37" t="s">
        <v>90</v>
      </c>
      <c r="J39" s="37" t="s">
        <v>90</v>
      </c>
      <c r="K39" s="37" t="s">
        <v>90</v>
      </c>
      <c r="L39" s="37" t="s">
        <v>90</v>
      </c>
      <c r="M39" s="30"/>
    </row>
    <row r="40" spans="1:13" ht="15.75" x14ac:dyDescent="0.25">
      <c r="A40" s="132" t="s">
        <v>146</v>
      </c>
      <c r="B40" s="134" t="s">
        <v>162</v>
      </c>
      <c r="C40" s="40" t="s">
        <v>66</v>
      </c>
      <c r="D40" s="32">
        <v>419</v>
      </c>
      <c r="E40" s="32">
        <v>324</v>
      </c>
      <c r="F40" s="63">
        <f>455*3.62811504813537/3.966522</f>
        <v>416.18131625176756</v>
      </c>
      <c r="G40" s="41">
        <f>L70</f>
        <v>417.15949403220407</v>
      </c>
      <c r="H40" s="41">
        <f>L70</f>
        <v>417.15949403220407</v>
      </c>
      <c r="I40" s="41">
        <f>M70</f>
        <v>420.00300537775189</v>
      </c>
      <c r="J40" s="41">
        <f>M70</f>
        <v>420.00300537775189</v>
      </c>
      <c r="K40" s="41">
        <f>N70</f>
        <v>414.05979003254373</v>
      </c>
      <c r="L40" s="41">
        <f>N70</f>
        <v>414.05979003254373</v>
      </c>
      <c r="M40" s="30"/>
    </row>
    <row r="41" spans="1:13" ht="45" x14ac:dyDescent="0.25">
      <c r="A41" s="132"/>
      <c r="B41" s="134"/>
      <c r="C41" s="40" t="s">
        <v>45</v>
      </c>
      <c r="D41" s="34">
        <v>102.9</v>
      </c>
      <c r="E41" s="34">
        <f>E40/D40*100</f>
        <v>77.326968973747015</v>
      </c>
      <c r="F41" s="34" t="s">
        <v>100</v>
      </c>
      <c r="G41" s="34">
        <f>G40/F40*100</f>
        <v>100.23503644739418</v>
      </c>
      <c r="H41" s="34">
        <f>H40/F40*100</f>
        <v>100.23503644739418</v>
      </c>
      <c r="I41" s="34">
        <f>I40/G40*100</f>
        <v>100.68163649305038</v>
      </c>
      <c r="J41" s="34">
        <f t="shared" ref="J41:L41" si="0">J40/H40*100</f>
        <v>100.68163649305038</v>
      </c>
      <c r="K41" s="34">
        <f t="shared" si="0"/>
        <v>98.584958852886587</v>
      </c>
      <c r="L41" s="34">
        <f t="shared" si="0"/>
        <v>98.584958852886587</v>
      </c>
      <c r="M41" s="30"/>
    </row>
    <row r="42" spans="1:13" ht="15.75" x14ac:dyDescent="0.25">
      <c r="A42" s="32" t="s">
        <v>147</v>
      </c>
      <c r="B42" s="35" t="s">
        <v>148</v>
      </c>
      <c r="C42" s="40" t="s">
        <v>149</v>
      </c>
      <c r="D42" s="32">
        <v>0.49</v>
      </c>
      <c r="E42" s="32">
        <v>0.56000000000000005</v>
      </c>
      <c r="F42" s="32">
        <v>0.53</v>
      </c>
      <c r="G42" s="32">
        <v>0.52</v>
      </c>
      <c r="H42" s="32">
        <v>0.51</v>
      </c>
      <c r="I42" s="32">
        <v>0.5</v>
      </c>
      <c r="J42" s="32">
        <v>0.49</v>
      </c>
      <c r="K42" s="32">
        <v>0.48</v>
      </c>
      <c r="L42" s="32">
        <v>0.47</v>
      </c>
      <c r="M42" s="30"/>
    </row>
    <row r="43" spans="1:13" ht="15.75" x14ac:dyDescent="0.25">
      <c r="A43" s="132" t="s">
        <v>150</v>
      </c>
      <c r="B43" s="132"/>
      <c r="C43" s="132"/>
      <c r="D43" s="132"/>
      <c r="E43" s="132"/>
      <c r="F43" s="132"/>
      <c r="G43" s="132"/>
      <c r="H43" s="132"/>
      <c r="I43" s="132"/>
      <c r="J43" s="132"/>
      <c r="K43" s="132"/>
      <c r="L43" s="132"/>
      <c r="M43" s="30"/>
    </row>
    <row r="44" spans="1:13" ht="15.75" x14ac:dyDescent="0.25">
      <c r="A44" s="132" t="s">
        <v>151</v>
      </c>
      <c r="B44" s="134" t="s">
        <v>152</v>
      </c>
      <c r="C44" s="40" t="s">
        <v>50</v>
      </c>
      <c r="D44" s="34">
        <v>39.284999999999997</v>
      </c>
      <c r="E44" s="34">
        <v>38.877000000000002</v>
      </c>
      <c r="F44" s="34">
        <v>59.053656000000004</v>
      </c>
      <c r="G44" s="34">
        <v>58.876495032000001</v>
      </c>
      <c r="H44" s="34">
        <v>58.935548687999997</v>
      </c>
      <c r="I44" s="34">
        <v>58.699865546904</v>
      </c>
      <c r="J44" s="34">
        <v>58.817677590624001</v>
      </c>
      <c r="K44" s="34">
        <v>58.523765950263289</v>
      </c>
      <c r="L44" s="34">
        <v>58.700042235442751</v>
      </c>
      <c r="M44" s="30"/>
    </row>
    <row r="45" spans="1:13" ht="45" x14ac:dyDescent="0.25">
      <c r="A45" s="132"/>
      <c r="B45" s="134"/>
      <c r="C45" s="40" t="s">
        <v>45</v>
      </c>
      <c r="D45" s="34">
        <v>98.840134856337741</v>
      </c>
      <c r="E45" s="34">
        <v>98.961435662466599</v>
      </c>
      <c r="F45" s="34" t="s">
        <v>100</v>
      </c>
      <c r="G45" s="34">
        <v>99.7</v>
      </c>
      <c r="H45" s="34">
        <v>99.8</v>
      </c>
      <c r="I45" s="34">
        <v>99.7</v>
      </c>
      <c r="J45" s="34">
        <v>99.8</v>
      </c>
      <c r="K45" s="34">
        <v>99.7</v>
      </c>
      <c r="L45" s="34">
        <v>99.8</v>
      </c>
      <c r="M45" s="30"/>
    </row>
    <row r="46" spans="1:13" ht="15.75" x14ac:dyDescent="0.25">
      <c r="A46" s="132" t="s">
        <v>153</v>
      </c>
      <c r="B46" s="134" t="s">
        <v>87</v>
      </c>
      <c r="C46" s="40" t="s">
        <v>50</v>
      </c>
      <c r="D46" s="34">
        <v>21.561</v>
      </c>
      <c r="E46" s="34">
        <v>21.065999999999999</v>
      </c>
      <c r="F46" s="34">
        <v>30.882112000000003</v>
      </c>
      <c r="G46" s="34">
        <v>30.789465664000005</v>
      </c>
      <c r="H46" s="34">
        <v>30.820347776000002</v>
      </c>
      <c r="I46" s="34">
        <v>30.697097267008008</v>
      </c>
      <c r="J46" s="34">
        <v>30.758707080448001</v>
      </c>
      <c r="K46" s="34">
        <v>30.605005975206986</v>
      </c>
      <c r="L46" s="34">
        <v>30.697189666287105</v>
      </c>
      <c r="M46" s="30"/>
    </row>
    <row r="47" spans="1:13" ht="45" x14ac:dyDescent="0.25">
      <c r="A47" s="132"/>
      <c r="B47" s="134"/>
      <c r="C47" s="40" t="s">
        <v>45</v>
      </c>
      <c r="D47" s="34">
        <v>96.254464285714292</v>
      </c>
      <c r="E47" s="34">
        <v>97.704188117434256</v>
      </c>
      <c r="F47" s="34" t="s">
        <v>100</v>
      </c>
      <c r="G47" s="34">
        <v>99.7</v>
      </c>
      <c r="H47" s="34">
        <v>99.8</v>
      </c>
      <c r="I47" s="34">
        <v>99.7</v>
      </c>
      <c r="J47" s="34">
        <v>99.8</v>
      </c>
      <c r="K47" s="34">
        <v>99.7</v>
      </c>
      <c r="L47" s="34">
        <v>99.8</v>
      </c>
      <c r="M47" s="30"/>
    </row>
    <row r="48" spans="1:13" ht="15.75" x14ac:dyDescent="0.25">
      <c r="A48" s="132" t="s">
        <v>154</v>
      </c>
      <c r="B48" s="134" t="s">
        <v>155</v>
      </c>
      <c r="C48" s="40" t="s">
        <v>66</v>
      </c>
      <c r="D48" s="32">
        <v>-168</v>
      </c>
      <c r="E48" s="32">
        <v>-297</v>
      </c>
      <c r="F48" s="63">
        <v>-546</v>
      </c>
      <c r="G48" s="63">
        <f>F48*G49/100</f>
        <v>-544.36200000000008</v>
      </c>
      <c r="H48" s="63">
        <f>F48*H49/100</f>
        <v>-544.9079999999999</v>
      </c>
      <c r="I48" s="63">
        <f>G48*I49/100</f>
        <v>-542.72891400000003</v>
      </c>
      <c r="J48" s="63">
        <f t="shared" ref="J48:L48" si="1">H48*J49/100</f>
        <v>-543.81818399999986</v>
      </c>
      <c r="K48" s="63">
        <f t="shared" si="1"/>
        <v>-541.10072725800001</v>
      </c>
      <c r="L48" s="63">
        <f t="shared" si="1"/>
        <v>-542.73054763199991</v>
      </c>
      <c r="M48" s="30"/>
    </row>
    <row r="49" spans="1:14" ht="45" x14ac:dyDescent="0.25">
      <c r="A49" s="132"/>
      <c r="B49" s="134"/>
      <c r="C49" s="40" t="s">
        <v>45</v>
      </c>
      <c r="D49" s="37">
        <v>34.700000000000003</v>
      </c>
      <c r="E49" s="36">
        <f>E48/D48*100</f>
        <v>176.78571428571428</v>
      </c>
      <c r="F49" s="64" t="s">
        <v>100</v>
      </c>
      <c r="G49" s="64">
        <v>99.7</v>
      </c>
      <c r="H49" s="64">
        <v>99.8</v>
      </c>
      <c r="I49" s="64">
        <v>99.7</v>
      </c>
      <c r="J49" s="64">
        <v>99.8</v>
      </c>
      <c r="K49" s="64">
        <v>99.7</v>
      </c>
      <c r="L49" s="64">
        <v>99.8</v>
      </c>
      <c r="M49" s="30"/>
    </row>
    <row r="50" spans="1:14" ht="15.75" x14ac:dyDescent="0.25">
      <c r="A50" s="135" t="s">
        <v>169</v>
      </c>
      <c r="B50" s="135"/>
      <c r="C50" s="65"/>
      <c r="D50" s="66"/>
      <c r="E50" s="67"/>
      <c r="F50" s="68"/>
      <c r="G50" s="68"/>
      <c r="H50" s="68"/>
      <c r="I50" s="68"/>
      <c r="J50" s="68"/>
      <c r="K50" s="68"/>
      <c r="L50" s="68"/>
      <c r="M50" s="30"/>
    </row>
    <row r="51" spans="1:14" ht="15.75" x14ac:dyDescent="0.25">
      <c r="A51" s="133" t="s">
        <v>170</v>
      </c>
      <c r="B51" s="133"/>
      <c r="C51" s="133"/>
      <c r="D51" s="133"/>
      <c r="E51" s="133"/>
      <c r="F51" s="133"/>
      <c r="G51" s="133"/>
      <c r="H51" s="133"/>
      <c r="I51" s="133"/>
      <c r="J51" s="133"/>
      <c r="K51" s="133"/>
      <c r="L51" s="133"/>
      <c r="M51" s="30"/>
    </row>
    <row r="52" spans="1:14" ht="15.75" x14ac:dyDescent="0.25">
      <c r="A52" s="133" t="s">
        <v>171</v>
      </c>
      <c r="B52" s="133"/>
      <c r="C52" s="133"/>
      <c r="D52" s="133"/>
      <c r="E52" s="133"/>
      <c r="F52" s="133"/>
      <c r="G52" s="133"/>
      <c r="H52" s="133"/>
      <c r="I52" s="133"/>
      <c r="J52" s="133"/>
      <c r="K52" s="133"/>
      <c r="L52" s="133"/>
      <c r="M52" s="30"/>
    </row>
    <row r="53" spans="1:14" ht="15.75" x14ac:dyDescent="0.25">
      <c r="A53" s="133" t="s">
        <v>172</v>
      </c>
      <c r="B53" s="133"/>
      <c r="C53" s="133"/>
      <c r="D53" s="133"/>
      <c r="E53" s="133"/>
      <c r="F53" s="133"/>
      <c r="G53" s="133"/>
      <c r="H53" s="133"/>
      <c r="I53" s="133"/>
      <c r="J53" s="133"/>
      <c r="K53" s="133"/>
      <c r="L53" s="133"/>
      <c r="M53" s="30"/>
    </row>
    <row r="54" spans="1:14" ht="30.75" customHeight="1" x14ac:dyDescent="0.25">
      <c r="A54" s="133" t="s">
        <v>173</v>
      </c>
      <c r="B54" s="133"/>
      <c r="C54" s="133"/>
      <c r="D54" s="133"/>
      <c r="E54" s="133"/>
      <c r="F54" s="133"/>
      <c r="G54" s="133"/>
      <c r="H54" s="133"/>
      <c r="I54" s="133"/>
      <c r="J54" s="133"/>
      <c r="K54" s="133"/>
      <c r="L54" s="133"/>
    </row>
    <row r="55" spans="1:14" ht="15.75" x14ac:dyDescent="0.25">
      <c r="A55" s="137" t="s">
        <v>174</v>
      </c>
      <c r="B55" s="137"/>
      <c r="C55" s="137"/>
      <c r="D55" s="137"/>
      <c r="E55" s="137"/>
      <c r="F55" s="137"/>
      <c r="G55" s="137"/>
      <c r="H55" s="137"/>
      <c r="I55" s="137"/>
      <c r="J55" s="137"/>
      <c r="K55" s="137"/>
      <c r="L55" s="137"/>
    </row>
    <row r="56" spans="1:14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</row>
    <row r="57" spans="1:14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</row>
    <row r="58" spans="1:14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</row>
    <row r="59" spans="1:14" x14ac:dyDescent="0.25">
      <c r="A59" s="38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</row>
    <row r="60" spans="1:14" x14ac:dyDescent="0.25">
      <c r="A60" s="38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</row>
    <row r="61" spans="1:14" ht="15.75" thickBot="1" x14ac:dyDescent="0.3"/>
    <row r="62" spans="1:14" ht="15.75" thickBot="1" x14ac:dyDescent="0.3">
      <c r="C62" s="31">
        <v>2010</v>
      </c>
      <c r="D62" s="31">
        <v>2011</v>
      </c>
      <c r="E62" s="31">
        <v>2012</v>
      </c>
      <c r="F62" s="31">
        <v>2013</v>
      </c>
      <c r="G62" s="31">
        <v>2014</v>
      </c>
      <c r="H62" s="31">
        <v>2015</v>
      </c>
      <c r="I62" s="31">
        <v>2016</v>
      </c>
      <c r="J62" s="31">
        <v>2017</v>
      </c>
      <c r="K62" s="60">
        <v>2018</v>
      </c>
      <c r="L62" s="61">
        <v>2019</v>
      </c>
      <c r="M62" s="61">
        <v>2020</v>
      </c>
      <c r="N62" s="62">
        <v>2021</v>
      </c>
    </row>
    <row r="63" spans="1:14" ht="16.5" thickBot="1" x14ac:dyDescent="0.3">
      <c r="B63" s="39" t="s">
        <v>164</v>
      </c>
      <c r="C63" s="42">
        <v>-79</v>
      </c>
      <c r="D63" s="42">
        <v>-326</v>
      </c>
      <c r="E63" s="42">
        <v>-236</v>
      </c>
      <c r="F63" s="42">
        <v>-470</v>
      </c>
      <c r="G63" s="42">
        <v>-74</v>
      </c>
      <c r="H63" s="42">
        <v>-484</v>
      </c>
      <c r="I63" s="42">
        <v>-168</v>
      </c>
      <c r="J63" s="31">
        <v>-297</v>
      </c>
      <c r="K63" s="47">
        <v>-292</v>
      </c>
      <c r="L63" s="48">
        <f>K63+L66</f>
        <v>-301.36111111111109</v>
      </c>
      <c r="M63" s="48">
        <f>L63+M66</f>
        <v>-273.28240740740739</v>
      </c>
      <c r="N63" s="49">
        <f>M63+N66</f>
        <v>-306.52391975308637</v>
      </c>
    </row>
    <row r="64" spans="1:14" ht="16.5" thickBot="1" x14ac:dyDescent="0.3">
      <c r="B64" s="39" t="s">
        <v>165</v>
      </c>
      <c r="C64" s="42">
        <v>97</v>
      </c>
      <c r="D64" s="42">
        <v>26</v>
      </c>
      <c r="E64" s="42">
        <v>219</v>
      </c>
      <c r="F64" s="42">
        <v>510</v>
      </c>
      <c r="G64" s="42">
        <v>566</v>
      </c>
      <c r="H64" s="42">
        <v>185</v>
      </c>
      <c r="I64" s="42">
        <v>62</v>
      </c>
      <c r="J64" s="31">
        <v>-250</v>
      </c>
      <c r="K64" s="47"/>
      <c r="L64" s="48"/>
      <c r="M64" s="48"/>
      <c r="N64" s="49"/>
    </row>
    <row r="65" spans="2:14" ht="16.5" thickBot="1" x14ac:dyDescent="0.3">
      <c r="B65" s="54" t="s">
        <v>166</v>
      </c>
      <c r="C65" s="56">
        <f>C63+C64</f>
        <v>18</v>
      </c>
      <c r="D65" s="56">
        <f t="shared" ref="D65:J65" si="2">D63+D64</f>
        <v>-300</v>
      </c>
      <c r="E65" s="56">
        <f t="shared" si="2"/>
        <v>-17</v>
      </c>
      <c r="F65" s="56">
        <f t="shared" si="2"/>
        <v>40</v>
      </c>
      <c r="G65" s="56">
        <f t="shared" si="2"/>
        <v>492</v>
      </c>
      <c r="H65" s="56">
        <f t="shared" si="2"/>
        <v>-299</v>
      </c>
      <c r="I65" s="56">
        <f t="shared" si="2"/>
        <v>-106</v>
      </c>
      <c r="J65" s="56">
        <f t="shared" si="2"/>
        <v>-547</v>
      </c>
      <c r="K65" s="50">
        <f t="shared" ref="K65:N66" si="3">AVERAGE(E65:J65)</f>
        <v>-72.833333333333329</v>
      </c>
      <c r="L65" s="51">
        <f t="shared" si="3"/>
        <v>-82.138888888888886</v>
      </c>
      <c r="M65" s="51">
        <f t="shared" si="3"/>
        <v>-102.49537037037038</v>
      </c>
      <c r="N65" s="52">
        <f t="shared" si="3"/>
        <v>-201.57793209876544</v>
      </c>
    </row>
    <row r="66" spans="2:14" ht="15.75" thickBot="1" x14ac:dyDescent="0.3">
      <c r="B66" s="31"/>
      <c r="D66" s="43">
        <f t="shared" ref="D66:J66" si="4">D63-C63</f>
        <v>-247</v>
      </c>
      <c r="E66" s="43">
        <f t="shared" si="4"/>
        <v>90</v>
      </c>
      <c r="F66" s="43">
        <f t="shared" si="4"/>
        <v>-234</v>
      </c>
      <c r="G66" s="43">
        <f t="shared" si="4"/>
        <v>396</v>
      </c>
      <c r="H66" s="43">
        <f t="shared" si="4"/>
        <v>-410</v>
      </c>
      <c r="I66" s="43">
        <f t="shared" si="4"/>
        <v>316</v>
      </c>
      <c r="J66" s="43">
        <f t="shared" si="4"/>
        <v>-129</v>
      </c>
      <c r="K66" s="50">
        <f t="shared" si="3"/>
        <v>4.833333333333333</v>
      </c>
      <c r="L66" s="51">
        <f t="shared" si="3"/>
        <v>-9.3611111111111107</v>
      </c>
      <c r="M66" s="51">
        <f t="shared" si="3"/>
        <v>28.078703703703706</v>
      </c>
      <c r="N66" s="52">
        <f t="shared" si="3"/>
        <v>-33.241512345679013</v>
      </c>
    </row>
    <row r="67" spans="2:14" x14ac:dyDescent="0.25">
      <c r="C67" s="31" t="s">
        <v>167</v>
      </c>
      <c r="F67" s="31">
        <f t="shared" ref="F67:I67" si="5">F65/E65*100</f>
        <v>-235.29411764705884</v>
      </c>
      <c r="G67" s="31">
        <f>G65/F65*100</f>
        <v>1230</v>
      </c>
      <c r="H67" s="31">
        <f t="shared" si="5"/>
        <v>-60.77235772357723</v>
      </c>
      <c r="I67" s="31">
        <f t="shared" si="5"/>
        <v>35.451505016722408</v>
      </c>
      <c r="J67" s="31">
        <f>J65/I65*100</f>
        <v>516.03773584905662</v>
      </c>
      <c r="K67" s="44">
        <v>4.3</v>
      </c>
      <c r="L67" s="45"/>
      <c r="M67" s="45"/>
      <c r="N67" s="46"/>
    </row>
    <row r="68" spans="2:14" x14ac:dyDescent="0.25">
      <c r="K68" s="58"/>
      <c r="L68" s="48"/>
      <c r="M68" s="48"/>
      <c r="N68" s="49"/>
    </row>
    <row r="69" spans="2:14" ht="20.25" x14ac:dyDescent="0.25">
      <c r="B69" s="39" t="s">
        <v>163</v>
      </c>
      <c r="J69" s="57">
        <v>3.9665219999999999</v>
      </c>
      <c r="K69" s="59">
        <v>3.6281150481353741</v>
      </c>
      <c r="L69" s="53">
        <v>3.6366424408518814</v>
      </c>
      <c r="M69" s="53">
        <v>3.6614311228504857</v>
      </c>
      <c r="N69" s="53">
        <v>3.6096203658889348</v>
      </c>
    </row>
    <row r="70" spans="2:14" ht="15.75" thickBot="1" x14ac:dyDescent="0.3">
      <c r="H70" s="55">
        <v>2017</v>
      </c>
      <c r="I70" s="55" t="s">
        <v>168</v>
      </c>
      <c r="J70" s="55">
        <v>455</v>
      </c>
      <c r="K70" s="50">
        <f>J70*K69/J69</f>
        <v>416.18131625176801</v>
      </c>
      <c r="L70" s="51">
        <f>K70*L69/K69</f>
        <v>417.15949403220407</v>
      </c>
      <c r="M70" s="51">
        <f>L70*M69/L69</f>
        <v>420.00300537775189</v>
      </c>
      <c r="N70" s="52">
        <f>M70*N69/M69</f>
        <v>414.05979003254373</v>
      </c>
    </row>
  </sheetData>
  <mergeCells count="55">
    <mergeCell ref="A55:L55"/>
    <mergeCell ref="A48:A49"/>
    <mergeCell ref="B48:B49"/>
    <mergeCell ref="A54:L54"/>
    <mergeCell ref="A30:L30"/>
    <mergeCell ref="A46:A47"/>
    <mergeCell ref="B46:B47"/>
    <mergeCell ref="A33:L33"/>
    <mergeCell ref="A34:A35"/>
    <mergeCell ref="B34:B35"/>
    <mergeCell ref="A36:A37"/>
    <mergeCell ref="B36:B37"/>
    <mergeCell ref="A38:L38"/>
    <mergeCell ref="A40:A41"/>
    <mergeCell ref="B40:B41"/>
    <mergeCell ref="A43:L43"/>
    <mergeCell ref="A44:A45"/>
    <mergeCell ref="B44:B45"/>
    <mergeCell ref="A25:L25"/>
    <mergeCell ref="A26:A27"/>
    <mergeCell ref="B26:B27"/>
    <mergeCell ref="A28:A29"/>
    <mergeCell ref="B28:B29"/>
    <mergeCell ref="A52:L52"/>
    <mergeCell ref="A53:L53"/>
    <mergeCell ref="A50:B50"/>
    <mergeCell ref="A1:A3"/>
    <mergeCell ref="B1:B3"/>
    <mergeCell ref="C1:C3"/>
    <mergeCell ref="D1:E2"/>
    <mergeCell ref="F1:F3"/>
    <mergeCell ref="A5:L5"/>
    <mergeCell ref="A6:A7"/>
    <mergeCell ref="B6:B7"/>
    <mergeCell ref="A8:L8"/>
    <mergeCell ref="A9:A10"/>
    <mergeCell ref="B9:B10"/>
    <mergeCell ref="A11:L11"/>
    <mergeCell ref="A12:A13"/>
    <mergeCell ref="G1:L1"/>
    <mergeCell ref="G2:H2"/>
    <mergeCell ref="I2:J2"/>
    <mergeCell ref="K2:L2"/>
    <mergeCell ref="A51:L51"/>
    <mergeCell ref="B12:B13"/>
    <mergeCell ref="A15:L15"/>
    <mergeCell ref="A18:A19"/>
    <mergeCell ref="B18:B19"/>
    <mergeCell ref="A31:A32"/>
    <mergeCell ref="B31:B32"/>
    <mergeCell ref="A20:L20"/>
    <mergeCell ref="A21:A22"/>
    <mergeCell ref="B21:B22"/>
    <mergeCell ref="A23:A24"/>
    <mergeCell ref="B23:B24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000</vt:lpstr>
      <vt:lpstr>Лист2</vt:lpstr>
      <vt:lpstr>Лист1</vt:lpstr>
      <vt:lpstr>'000'!Заголовки_для_печати</vt:lpstr>
      <vt:lpstr>Лист1!Заголовки_для_печати</vt:lpstr>
      <vt:lpstr>'000'!Область_печати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2018-11-15T12:33:20Z</dcterms:modified>
</cp:coreProperties>
</file>