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-1296" yWindow="1812" windowWidth="15300" windowHeight="8016"/>
  </bookViews>
  <sheets>
    <sheet name="2012" sheetId="1" r:id="rId1"/>
    <sheet name="Оценка эфективности" sheetId="2" r:id="rId2"/>
    <sheet name="Лист1" sheetId="3" state="hidden" r:id="rId3"/>
  </sheets>
  <calcPr calcId="145621"/>
</workbook>
</file>

<file path=xl/calcChain.xml><?xml version="1.0" encoding="utf-8"?>
<calcChain xmlns="http://schemas.openxmlformats.org/spreadsheetml/2006/main">
  <c r="K380" i="2" l="1"/>
  <c r="F390" i="2"/>
  <c r="F391" i="2"/>
  <c r="F392" i="2"/>
  <c r="F389" i="2"/>
  <c r="F382" i="2"/>
  <c r="F393" i="2"/>
  <c r="J368" i="1"/>
  <c r="I368" i="1"/>
  <c r="J367" i="1"/>
  <c r="I367" i="1"/>
  <c r="J366" i="1"/>
  <c r="I366" i="1"/>
  <c r="J365" i="1"/>
  <c r="I365" i="1"/>
  <c r="J361" i="1"/>
  <c r="I361" i="1"/>
  <c r="J358" i="1"/>
  <c r="I358" i="1"/>
  <c r="K390" i="1" l="1"/>
  <c r="M390" i="1"/>
  <c r="L390" i="1"/>
  <c r="I390" i="1" l="1"/>
  <c r="K63" i="2"/>
  <c r="K235" i="2"/>
  <c r="F237" i="2" l="1"/>
  <c r="F238" i="2"/>
  <c r="F236" i="2"/>
  <c r="J226" i="1"/>
  <c r="I226" i="1"/>
  <c r="J224" i="1"/>
  <c r="I224" i="1"/>
  <c r="F65" i="2" l="1"/>
  <c r="F66" i="2"/>
  <c r="F67" i="2"/>
  <c r="F68" i="2"/>
  <c r="F64" i="2"/>
  <c r="J62" i="1"/>
  <c r="J63" i="1"/>
  <c r="J64" i="1"/>
  <c r="J65" i="1"/>
  <c r="I62" i="1"/>
  <c r="I63" i="1"/>
  <c r="I64" i="1"/>
  <c r="I65" i="1"/>
  <c r="J61" i="1"/>
  <c r="I61" i="1"/>
  <c r="K274" i="2" l="1"/>
  <c r="F276" i="2" l="1"/>
  <c r="F275" i="2"/>
  <c r="J260" i="1"/>
  <c r="I260" i="1"/>
  <c r="J259" i="1"/>
  <c r="I259" i="1"/>
  <c r="K151" i="2" l="1"/>
  <c r="K132" i="2"/>
  <c r="J128" i="1"/>
  <c r="J129" i="1"/>
  <c r="J133" i="1"/>
  <c r="J136" i="1"/>
  <c r="J137" i="1"/>
  <c r="J138" i="1"/>
  <c r="J139" i="1"/>
  <c r="J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27" i="1"/>
  <c r="F134" i="2"/>
  <c r="F135" i="2"/>
  <c r="F139" i="2"/>
  <c r="F142" i="2"/>
  <c r="F143" i="2"/>
  <c r="F144" i="2"/>
  <c r="F145" i="2"/>
  <c r="F133" i="2"/>
  <c r="I102" i="1"/>
  <c r="I101" i="1"/>
  <c r="I100" i="1"/>
  <c r="I99" i="1"/>
  <c r="I98" i="1"/>
  <c r="J101" i="1"/>
  <c r="J102" i="1"/>
  <c r="J98" i="1"/>
  <c r="J99" i="1"/>
  <c r="J100" i="1"/>
  <c r="K75" i="2"/>
  <c r="E1" i="3"/>
  <c r="F106" i="2"/>
  <c r="F105" i="2"/>
  <c r="F104" i="2"/>
  <c r="F103" i="2"/>
  <c r="F102" i="2"/>
  <c r="K170" i="2"/>
  <c r="F313" i="2"/>
  <c r="J336" i="2"/>
  <c r="I279" i="1"/>
  <c r="J279" i="1"/>
  <c r="F297" i="2"/>
  <c r="F172" i="2"/>
  <c r="F173" i="2"/>
  <c r="F174" i="2"/>
  <c r="F171" i="2"/>
  <c r="J164" i="1"/>
  <c r="F153" i="2"/>
  <c r="F154" i="2"/>
  <c r="F155" i="2"/>
  <c r="F156" i="2"/>
  <c r="F157" i="2"/>
  <c r="F158" i="2"/>
  <c r="F159" i="2"/>
  <c r="F160" i="2"/>
  <c r="F161" i="2"/>
  <c r="F162" i="2"/>
  <c r="F163" i="2"/>
  <c r="F152" i="2"/>
  <c r="J165" i="1" l="1"/>
  <c r="J166" i="1"/>
  <c r="J167" i="1"/>
  <c r="I165" i="1"/>
  <c r="I166" i="1"/>
  <c r="I167" i="1"/>
  <c r="I164" i="1"/>
  <c r="J155" i="1"/>
  <c r="J156" i="1"/>
  <c r="I155" i="1"/>
  <c r="I156" i="1"/>
  <c r="J146" i="1"/>
  <c r="J147" i="1"/>
  <c r="J148" i="1"/>
  <c r="J149" i="1"/>
  <c r="J150" i="1"/>
  <c r="J151" i="1"/>
  <c r="J152" i="1"/>
  <c r="J153" i="1"/>
  <c r="J154" i="1"/>
  <c r="I146" i="1"/>
  <c r="I147" i="1"/>
  <c r="I148" i="1"/>
  <c r="I149" i="1"/>
  <c r="I150" i="1"/>
  <c r="I151" i="1"/>
  <c r="I152" i="1"/>
  <c r="I153" i="1"/>
  <c r="I154" i="1"/>
  <c r="I145" i="1"/>
  <c r="J145" i="1"/>
  <c r="K399" i="2"/>
  <c r="K360" i="2"/>
  <c r="J338" i="1"/>
  <c r="I338" i="1"/>
  <c r="J339" i="1"/>
  <c r="J340" i="1"/>
  <c r="J341" i="1"/>
  <c r="J342" i="1"/>
  <c r="J343" i="1"/>
  <c r="J344" i="1"/>
  <c r="J345" i="1"/>
  <c r="J346" i="1"/>
  <c r="J351" i="1"/>
  <c r="I339" i="1"/>
  <c r="I340" i="1"/>
  <c r="I341" i="1"/>
  <c r="I342" i="1"/>
  <c r="I343" i="1"/>
  <c r="I344" i="1"/>
  <c r="I345" i="1"/>
  <c r="I346" i="1"/>
  <c r="I351" i="1"/>
  <c r="J376" i="1"/>
  <c r="I376" i="1"/>
  <c r="J375" i="1"/>
  <c r="I375" i="1"/>
  <c r="H234" i="1"/>
  <c r="G234" i="1"/>
  <c r="K407" i="2"/>
  <c r="K352" i="2"/>
  <c r="K341" i="2"/>
  <c r="K332" i="2"/>
  <c r="K323" i="2"/>
  <c r="K310" i="2"/>
  <c r="K295" i="2"/>
  <c r="K284" i="2"/>
  <c r="K264" i="2"/>
  <c r="K254" i="2"/>
  <c r="K244" i="2"/>
  <c r="E247" i="2"/>
  <c r="F247" i="2" s="1"/>
  <c r="K218" i="2"/>
  <c r="K207" i="2"/>
  <c r="K186" i="2"/>
  <c r="K178" i="2"/>
  <c r="K112" i="2"/>
  <c r="F118" i="2"/>
  <c r="J114" i="1"/>
  <c r="J113" i="1"/>
  <c r="I113" i="1"/>
  <c r="K53" i="2"/>
  <c r="K41" i="2"/>
  <c r="K25" i="2"/>
  <c r="K15" i="2"/>
  <c r="F410" i="2"/>
  <c r="F409" i="2"/>
  <c r="F408" i="2"/>
  <c r="F406" i="2"/>
  <c r="F405" i="2"/>
  <c r="E404" i="2"/>
  <c r="D404" i="2"/>
  <c r="F398" i="2"/>
  <c r="F397" i="2"/>
  <c r="E396" i="2"/>
  <c r="D396" i="2"/>
  <c r="F379" i="2"/>
  <c r="F378" i="2"/>
  <c r="E377" i="2"/>
  <c r="D377" i="2"/>
  <c r="F359" i="2"/>
  <c r="F358" i="2"/>
  <c r="E357" i="2"/>
  <c r="D357" i="2"/>
  <c r="F354" i="2"/>
  <c r="F353" i="2"/>
  <c r="F351" i="2"/>
  <c r="E349" i="2"/>
  <c r="D349" i="2"/>
  <c r="E348" i="2"/>
  <c r="D348" i="2"/>
  <c r="E347" i="2"/>
  <c r="D347" i="2"/>
  <c r="F343" i="2"/>
  <c r="F342" i="2"/>
  <c r="F340" i="2"/>
  <c r="F339" i="2"/>
  <c r="E338" i="2"/>
  <c r="D338" i="2"/>
  <c r="F335" i="2"/>
  <c r="F334" i="2"/>
  <c r="F333" i="2"/>
  <c r="F331" i="2"/>
  <c r="F330" i="2"/>
  <c r="E329" i="2"/>
  <c r="D329" i="2"/>
  <c r="F326" i="2"/>
  <c r="F325" i="2"/>
  <c r="F324" i="2"/>
  <c r="F321" i="2"/>
  <c r="F320" i="2"/>
  <c r="F319" i="2"/>
  <c r="E318" i="2"/>
  <c r="D318" i="2"/>
  <c r="F315" i="2"/>
  <c r="F314" i="2"/>
  <c r="F312" i="2"/>
  <c r="F311" i="2"/>
  <c r="F309" i="2"/>
  <c r="E307" i="2"/>
  <c r="D307" i="2"/>
  <c r="E304" i="2"/>
  <c r="D304" i="2"/>
  <c r="E303" i="2"/>
  <c r="D303" i="2"/>
  <c r="E302" i="2"/>
  <c r="D302" i="2"/>
  <c r="F298" i="2"/>
  <c r="F296" i="2"/>
  <c r="F294" i="2"/>
  <c r="F293" i="2"/>
  <c r="F292" i="2"/>
  <c r="E291" i="2"/>
  <c r="D291" i="2"/>
  <c r="F288" i="2"/>
  <c r="F287" i="2"/>
  <c r="F286" i="2"/>
  <c r="F285" i="2"/>
  <c r="F283" i="2"/>
  <c r="F282" i="2"/>
  <c r="F281" i="2"/>
  <c r="F280" i="2"/>
  <c r="E279" i="2"/>
  <c r="D279" i="2"/>
  <c r="F272" i="2"/>
  <c r="F271" i="2"/>
  <c r="F270" i="2"/>
  <c r="E269" i="2"/>
  <c r="D269" i="2"/>
  <c r="F266" i="2"/>
  <c r="F265" i="2"/>
  <c r="F263" i="2"/>
  <c r="F262" i="2"/>
  <c r="F261" i="2"/>
  <c r="F260" i="2"/>
  <c r="E259" i="2"/>
  <c r="D259" i="2"/>
  <c r="F256" i="2"/>
  <c r="F255" i="2"/>
  <c r="F253" i="2"/>
  <c r="F252" i="2"/>
  <c r="E251" i="2"/>
  <c r="D251" i="2"/>
  <c r="F248" i="2"/>
  <c r="F246" i="2"/>
  <c r="F245" i="2"/>
  <c r="F243" i="2"/>
  <c r="F242" i="2"/>
  <c r="E241" i="2"/>
  <c r="D241" i="2"/>
  <c r="F234" i="2"/>
  <c r="E233" i="2"/>
  <c r="D233" i="2"/>
  <c r="E229" i="2"/>
  <c r="D229" i="2"/>
  <c r="E228" i="2"/>
  <c r="D228" i="2"/>
  <c r="E227" i="2"/>
  <c r="D227" i="2"/>
  <c r="E226" i="2"/>
  <c r="D226" i="2"/>
  <c r="F222" i="2"/>
  <c r="F221" i="2"/>
  <c r="F220" i="2"/>
  <c r="F219" i="2"/>
  <c r="F217" i="2"/>
  <c r="F216" i="2"/>
  <c r="F215" i="2"/>
  <c r="E214" i="2"/>
  <c r="D214" i="2"/>
  <c r="F211" i="2"/>
  <c r="F210" i="2"/>
  <c r="F209" i="2"/>
  <c r="F208" i="2"/>
  <c r="F206" i="2"/>
  <c r="F205" i="2"/>
  <c r="F204" i="2"/>
  <c r="E203" i="2"/>
  <c r="D203" i="2"/>
  <c r="E200" i="2"/>
  <c r="D200" i="2"/>
  <c r="E199" i="2"/>
  <c r="D199" i="2"/>
  <c r="E198" i="2"/>
  <c r="D198" i="2"/>
  <c r="E197" i="2"/>
  <c r="D197" i="2"/>
  <c r="F193" i="2"/>
  <c r="F192" i="2"/>
  <c r="F191" i="2"/>
  <c r="F190" i="2"/>
  <c r="F189" i="2"/>
  <c r="F188" i="2"/>
  <c r="F185" i="2"/>
  <c r="F181" i="2"/>
  <c r="F180" i="2"/>
  <c r="F179" i="2"/>
  <c r="F177" i="2"/>
  <c r="F169" i="2"/>
  <c r="F168" i="2"/>
  <c r="F167" i="2"/>
  <c r="E166" i="2"/>
  <c r="D166" i="2"/>
  <c r="F150" i="2"/>
  <c r="F149" i="2"/>
  <c r="E148" i="2"/>
  <c r="D148" i="2"/>
  <c r="F131" i="2"/>
  <c r="E129" i="2"/>
  <c r="D129" i="2"/>
  <c r="E126" i="2"/>
  <c r="D126" i="2"/>
  <c r="E125" i="2"/>
  <c r="D125" i="2"/>
  <c r="F124" i="2"/>
  <c r="E123" i="2"/>
  <c r="D123" i="2"/>
  <c r="F119" i="2"/>
  <c r="F116" i="2"/>
  <c r="F115" i="2"/>
  <c r="F114" i="2"/>
  <c r="F113" i="2"/>
  <c r="F111" i="2"/>
  <c r="F110" i="2"/>
  <c r="E109" i="2"/>
  <c r="D109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4" i="2"/>
  <c r="F73" i="2"/>
  <c r="F72" i="2"/>
  <c r="E71" i="2"/>
  <c r="D71" i="2"/>
  <c r="F62" i="2"/>
  <c r="F61" i="2"/>
  <c r="E60" i="2"/>
  <c r="D60" i="2"/>
  <c r="F56" i="2"/>
  <c r="F55" i="2"/>
  <c r="F54" i="2"/>
  <c r="F52" i="2"/>
  <c r="E50" i="2"/>
  <c r="D50" i="2"/>
  <c r="F47" i="2"/>
  <c r="F46" i="2"/>
  <c r="F45" i="2"/>
  <c r="F44" i="2"/>
  <c r="F43" i="2"/>
  <c r="F42" i="2"/>
  <c r="F40" i="2"/>
  <c r="F39" i="2"/>
  <c r="F38" i="2"/>
  <c r="E37" i="2"/>
  <c r="D37" i="2"/>
  <c r="E34" i="2"/>
  <c r="D34" i="2"/>
  <c r="E33" i="2"/>
  <c r="D33" i="2"/>
  <c r="E32" i="2"/>
  <c r="D32" i="2"/>
  <c r="F28" i="2"/>
  <c r="F27" i="2"/>
  <c r="F26" i="2"/>
  <c r="F24" i="2"/>
  <c r="F23" i="2"/>
  <c r="E22" i="2"/>
  <c r="D22" i="2"/>
  <c r="F19" i="2"/>
  <c r="F18" i="2"/>
  <c r="F17" i="2"/>
  <c r="F16" i="2"/>
  <c r="F14" i="2"/>
  <c r="F13" i="2"/>
  <c r="F12" i="2"/>
  <c r="E11" i="2"/>
  <c r="D11" i="2"/>
  <c r="E8" i="2"/>
  <c r="D8" i="2"/>
  <c r="E7" i="2"/>
  <c r="D7" i="2"/>
  <c r="E6" i="2"/>
  <c r="D6" i="2"/>
  <c r="F327" i="1"/>
  <c r="H327" i="1"/>
  <c r="E327" i="1"/>
  <c r="F326" i="1"/>
  <c r="H326" i="1"/>
  <c r="E326" i="1"/>
  <c r="F325" i="1"/>
  <c r="G325" i="1"/>
  <c r="H325" i="1"/>
  <c r="E325" i="1"/>
  <c r="F286" i="1"/>
  <c r="H286" i="1"/>
  <c r="E286" i="1"/>
  <c r="F285" i="1"/>
  <c r="H285" i="1"/>
  <c r="E285" i="1"/>
  <c r="F284" i="1"/>
  <c r="H284" i="1"/>
  <c r="E284" i="1"/>
  <c r="F283" i="1"/>
  <c r="H283" i="1"/>
  <c r="E283" i="1"/>
  <c r="F217" i="1"/>
  <c r="H217" i="1"/>
  <c r="F216" i="1"/>
  <c r="H216" i="1"/>
  <c r="F215" i="1"/>
  <c r="H215" i="1"/>
  <c r="F214" i="1"/>
  <c r="H214" i="1"/>
  <c r="F189" i="1"/>
  <c r="H189" i="1"/>
  <c r="E189" i="1"/>
  <c r="F188" i="1"/>
  <c r="H188" i="1"/>
  <c r="F187" i="1"/>
  <c r="G187" i="1"/>
  <c r="H187" i="1"/>
  <c r="E187" i="1"/>
  <c r="F129" i="2" l="1"/>
  <c r="J316" i="2"/>
  <c r="J20" i="2"/>
  <c r="J355" i="2"/>
  <c r="F227" i="2"/>
  <c r="J48" i="2"/>
  <c r="F126" i="2"/>
  <c r="F34" i="2"/>
  <c r="F60" i="2"/>
  <c r="J69" i="2" s="1"/>
  <c r="D415" i="2"/>
  <c r="E31" i="2"/>
  <c r="F71" i="2"/>
  <c r="D122" i="2"/>
  <c r="F199" i="2"/>
  <c r="F214" i="2"/>
  <c r="J223" i="2" s="1"/>
  <c r="F200" i="2"/>
  <c r="F148" i="2"/>
  <c r="J164" i="2" s="1"/>
  <c r="E196" i="2"/>
  <c r="F233" i="2"/>
  <c r="J239" i="2" s="1"/>
  <c r="F241" i="2"/>
  <c r="F404" i="2"/>
  <c r="J411" i="2" s="1"/>
  <c r="F279" i="2"/>
  <c r="F50" i="2"/>
  <c r="J58" i="2" s="1"/>
  <c r="F8" i="2"/>
  <c r="F22" i="2"/>
  <c r="J29" i="2" s="1"/>
  <c r="F33" i="2"/>
  <c r="F37" i="2"/>
  <c r="F123" i="2"/>
  <c r="F125" i="2"/>
  <c r="F166" i="2"/>
  <c r="J175" i="2" s="1"/>
  <c r="F198" i="2"/>
  <c r="F228" i="2"/>
  <c r="F269" i="2"/>
  <c r="J277" i="2" s="1"/>
  <c r="F291" i="2"/>
  <c r="J299" i="2" s="1"/>
  <c r="D301" i="2"/>
  <c r="D346" i="2"/>
  <c r="F377" i="2"/>
  <c r="F302" i="2"/>
  <c r="F318" i="2"/>
  <c r="J327" i="2" s="1"/>
  <c r="F347" i="2"/>
  <c r="F357" i="2"/>
  <c r="F11" i="2"/>
  <c r="E415" i="2"/>
  <c r="F203" i="2"/>
  <c r="J212" i="2" s="1"/>
  <c r="E225" i="2"/>
  <c r="F229" i="2"/>
  <c r="F251" i="2"/>
  <c r="J257" i="2" s="1"/>
  <c r="F259" i="2"/>
  <c r="J267" i="2" s="1"/>
  <c r="F303" i="2"/>
  <c r="F329" i="2"/>
  <c r="F348" i="2"/>
  <c r="E414" i="2"/>
  <c r="L414" i="2" s="1"/>
  <c r="F304" i="2"/>
  <c r="F307" i="2"/>
  <c r="F349" i="2"/>
  <c r="F396" i="2"/>
  <c r="J402" i="2" s="1"/>
  <c r="D416" i="2"/>
  <c r="F109" i="2"/>
  <c r="J120" i="2" s="1"/>
  <c r="D225" i="2"/>
  <c r="F338" i="2"/>
  <c r="J344" i="2" s="1"/>
  <c r="E122" i="2"/>
  <c r="F226" i="2"/>
  <c r="E5" i="2"/>
  <c r="D414" i="2"/>
  <c r="F7" i="2"/>
  <c r="E416" i="2"/>
  <c r="D31" i="2"/>
  <c r="F31" i="2" s="1"/>
  <c r="F32" i="2"/>
  <c r="D196" i="2"/>
  <c r="F197" i="2"/>
  <c r="D5" i="2"/>
  <c r="F6" i="2"/>
  <c r="E301" i="2"/>
  <c r="E346" i="2"/>
  <c r="F415" i="2" l="1"/>
  <c r="F196" i="2"/>
  <c r="E413" i="2"/>
  <c r="F122" i="2"/>
  <c r="F346" i="2"/>
  <c r="F225" i="2"/>
  <c r="F301" i="2"/>
  <c r="F414" i="2"/>
  <c r="L415" i="2"/>
  <c r="D413" i="2"/>
  <c r="F5" i="2"/>
  <c r="L416" i="2"/>
  <c r="F416" i="2"/>
  <c r="F413" i="2" l="1"/>
  <c r="E120" i="1"/>
  <c r="F120" i="1"/>
  <c r="H120" i="1"/>
  <c r="F119" i="1"/>
  <c r="H119" i="1"/>
  <c r="E119" i="1"/>
  <c r="F117" i="1"/>
  <c r="H117" i="1"/>
  <c r="E117" i="1"/>
  <c r="F33" i="1"/>
  <c r="H33" i="1"/>
  <c r="E33" i="1"/>
  <c r="F32" i="1"/>
  <c r="H32" i="1"/>
  <c r="F31" i="1"/>
  <c r="H31" i="1"/>
  <c r="E31" i="1"/>
  <c r="E9" i="1"/>
  <c r="F9" i="1"/>
  <c r="H9" i="1"/>
  <c r="G13" i="1"/>
  <c r="G7" i="1" s="1"/>
  <c r="F8" i="1"/>
  <c r="H8" i="1"/>
  <c r="E8" i="1"/>
  <c r="F7" i="1"/>
  <c r="H7" i="1"/>
  <c r="E7" i="1"/>
  <c r="J28" i="1"/>
  <c r="I28" i="1"/>
  <c r="J27" i="1"/>
  <c r="I27" i="1"/>
  <c r="J26" i="1"/>
  <c r="I26" i="1"/>
  <c r="J384" i="1"/>
  <c r="J383" i="1"/>
  <c r="I383" i="1"/>
  <c r="I384" i="1"/>
  <c r="J382" i="1"/>
  <c r="I382" i="1"/>
  <c r="J332" i="1"/>
  <c r="I332" i="1"/>
  <c r="J331" i="1"/>
  <c r="I331" i="1"/>
  <c r="I369" i="1"/>
  <c r="J369" i="1"/>
  <c r="J329" i="1"/>
  <c r="G329" i="1"/>
  <c r="I250" i="1"/>
  <c r="J251" i="1"/>
  <c r="I251" i="1"/>
  <c r="J250" i="1"/>
  <c r="G353" i="1"/>
  <c r="G335" i="1"/>
  <c r="G318" i="1"/>
  <c r="G319" i="1"/>
  <c r="G290" i="1"/>
  <c r="E276" i="1"/>
  <c r="E275" i="1"/>
  <c r="E274" i="1"/>
  <c r="E266" i="1"/>
  <c r="E217" i="1" s="1"/>
  <c r="E265" i="1"/>
  <c r="E216" i="1" s="1"/>
  <c r="E264" i="1"/>
  <c r="E215" i="1" s="1"/>
  <c r="E263" i="1"/>
  <c r="E214" i="1" s="1"/>
  <c r="G206" i="1"/>
  <c r="G205" i="1"/>
  <c r="J125" i="1"/>
  <c r="I124" i="1"/>
  <c r="F123" i="1"/>
  <c r="H123" i="1"/>
  <c r="E123" i="1"/>
  <c r="G125" i="1"/>
  <c r="G123" i="1" s="1"/>
  <c r="E67" i="1"/>
  <c r="G49" i="1"/>
  <c r="G24" i="1"/>
  <c r="J335" i="1"/>
  <c r="G336" i="1"/>
  <c r="I336" i="1" s="1"/>
  <c r="J336" i="1"/>
  <c r="G311" i="1"/>
  <c r="G310" i="1"/>
  <c r="G303" i="1"/>
  <c r="G286" i="1" s="1"/>
  <c r="G302" i="1"/>
  <c r="G301" i="1"/>
  <c r="G300" i="1"/>
  <c r="G283" i="1" s="1"/>
  <c r="G291" i="1"/>
  <c r="G276" i="1"/>
  <c r="I276" i="1" s="1"/>
  <c r="G275" i="1"/>
  <c r="G274" i="1"/>
  <c r="G266" i="1"/>
  <c r="G217" i="1" s="1"/>
  <c r="G265" i="1"/>
  <c r="G264" i="1"/>
  <c r="G263" i="1"/>
  <c r="G256" i="1"/>
  <c r="I256" i="1" s="1"/>
  <c r="G255" i="1"/>
  <c r="I255" i="1" s="1"/>
  <c r="G254" i="1"/>
  <c r="I254" i="1" s="1"/>
  <c r="I248" i="1"/>
  <c r="G247" i="1"/>
  <c r="G246" i="1"/>
  <c r="I246" i="1" s="1"/>
  <c r="G245" i="1"/>
  <c r="G239" i="1"/>
  <c r="G238" i="1"/>
  <c r="G230" i="1"/>
  <c r="G229" i="1"/>
  <c r="G222" i="1"/>
  <c r="G194" i="1"/>
  <c r="G176" i="1"/>
  <c r="G169" i="1"/>
  <c r="G162" i="1"/>
  <c r="I162" i="1" s="1"/>
  <c r="G161" i="1"/>
  <c r="I161" i="1" s="1"/>
  <c r="G160" i="1"/>
  <c r="G117" i="1" s="1"/>
  <c r="G159" i="1"/>
  <c r="I159" i="1" s="1"/>
  <c r="G143" i="1"/>
  <c r="I143" i="1" s="1"/>
  <c r="G142" i="1"/>
  <c r="I142" i="1" s="1"/>
  <c r="G69" i="1"/>
  <c r="G68" i="1"/>
  <c r="G58" i="1"/>
  <c r="I58" i="1" s="1"/>
  <c r="G59" i="1"/>
  <c r="I59" i="1" s="1"/>
  <c r="G38" i="1"/>
  <c r="G37" i="1"/>
  <c r="G15" i="1"/>
  <c r="G9" i="1" s="1"/>
  <c r="G14" i="1"/>
  <c r="G8" i="1" s="1"/>
  <c r="J159" i="1"/>
  <c r="J160" i="1"/>
  <c r="J161" i="1"/>
  <c r="J162" i="1"/>
  <c r="F158" i="1"/>
  <c r="H158" i="1"/>
  <c r="E158" i="1"/>
  <c r="J286" i="1"/>
  <c r="H228" i="1"/>
  <c r="F190" i="1"/>
  <c r="G190" i="1"/>
  <c r="H190" i="1"/>
  <c r="E190" i="1"/>
  <c r="J118" i="1"/>
  <c r="I118" i="1"/>
  <c r="G70" i="1"/>
  <c r="J379" i="1"/>
  <c r="J380" i="1"/>
  <c r="I379" i="1"/>
  <c r="I380" i="1"/>
  <c r="F378" i="1"/>
  <c r="G378" i="1"/>
  <c r="H378" i="1"/>
  <c r="E378" i="1"/>
  <c r="J372" i="1"/>
  <c r="J373" i="1"/>
  <c r="I372" i="1"/>
  <c r="I373" i="1"/>
  <c r="F371" i="1"/>
  <c r="G371" i="1"/>
  <c r="H371" i="1"/>
  <c r="E371" i="1"/>
  <c r="J245" i="1"/>
  <c r="J246" i="1"/>
  <c r="J247" i="1"/>
  <c r="J248" i="1"/>
  <c r="F244" i="1"/>
  <c r="H244" i="1"/>
  <c r="E244" i="1"/>
  <c r="J55" i="1"/>
  <c r="I55" i="1"/>
  <c r="J58" i="1"/>
  <c r="J59" i="1"/>
  <c r="F57" i="1"/>
  <c r="H57" i="1"/>
  <c r="E57" i="1"/>
  <c r="J254" i="1"/>
  <c r="J255" i="1"/>
  <c r="J256" i="1"/>
  <c r="I257" i="1"/>
  <c r="F253" i="1"/>
  <c r="H253" i="1"/>
  <c r="E253" i="1"/>
  <c r="G50" i="1"/>
  <c r="J222" i="1"/>
  <c r="F221" i="1"/>
  <c r="H221" i="1"/>
  <c r="E221" i="1"/>
  <c r="H334" i="1"/>
  <c r="F334" i="1"/>
  <c r="E334" i="1"/>
  <c r="G106" i="1"/>
  <c r="G39" i="1"/>
  <c r="J274" i="1"/>
  <c r="J275" i="1"/>
  <c r="J276" i="1"/>
  <c r="F273" i="1"/>
  <c r="H273" i="1"/>
  <c r="J354" i="1"/>
  <c r="J355" i="1"/>
  <c r="I354" i="1"/>
  <c r="I355" i="1"/>
  <c r="F353" i="1"/>
  <c r="H353" i="1"/>
  <c r="E353" i="1"/>
  <c r="J142" i="1"/>
  <c r="J143" i="1"/>
  <c r="F141" i="1"/>
  <c r="H141" i="1"/>
  <c r="E141" i="1"/>
  <c r="F317" i="1"/>
  <c r="G195" i="1"/>
  <c r="E116" i="1" l="1"/>
  <c r="G31" i="1"/>
  <c r="G189" i="1"/>
  <c r="G32" i="1"/>
  <c r="G120" i="1"/>
  <c r="G33" i="1"/>
  <c r="I275" i="1"/>
  <c r="J31" i="1"/>
  <c r="G215" i="1"/>
  <c r="I215" i="1" s="1"/>
  <c r="I245" i="1"/>
  <c r="G214" i="1"/>
  <c r="I335" i="1"/>
  <c r="G326" i="1"/>
  <c r="I326" i="1" s="1"/>
  <c r="G188" i="1"/>
  <c r="G285" i="1"/>
  <c r="I285" i="1" s="1"/>
  <c r="G284" i="1"/>
  <c r="I284" i="1" s="1"/>
  <c r="G119" i="1"/>
  <c r="I119" i="1" s="1"/>
  <c r="I222" i="1"/>
  <c r="G216" i="1"/>
  <c r="I216" i="1" s="1"/>
  <c r="I329" i="1"/>
  <c r="G327" i="1"/>
  <c r="I123" i="1"/>
  <c r="I274" i="1"/>
  <c r="J221" i="1"/>
  <c r="G244" i="1"/>
  <c r="I244" i="1" s="1"/>
  <c r="G273" i="1"/>
  <c r="J215" i="1"/>
  <c r="G221" i="1"/>
  <c r="I221" i="1" s="1"/>
  <c r="J285" i="1"/>
  <c r="E273" i="1"/>
  <c r="J378" i="1"/>
  <c r="G253" i="1"/>
  <c r="I253" i="1" s="1"/>
  <c r="J244" i="1"/>
  <c r="J187" i="1"/>
  <c r="E262" i="1"/>
  <c r="J217" i="1"/>
  <c r="J117" i="1"/>
  <c r="I125" i="1"/>
  <c r="J123" i="1"/>
  <c r="I286" i="1"/>
  <c r="J119" i="1"/>
  <c r="J214" i="1"/>
  <c r="F282" i="1"/>
  <c r="G141" i="1"/>
  <c r="I141" i="1" s="1"/>
  <c r="F324" i="1"/>
  <c r="J141" i="1"/>
  <c r="G334" i="1"/>
  <c r="I334" i="1" s="1"/>
  <c r="E324" i="1"/>
  <c r="J273" i="1"/>
  <c r="J190" i="1"/>
  <c r="J253" i="1"/>
  <c r="J371" i="1"/>
  <c r="J353" i="1"/>
  <c r="J57" i="1"/>
  <c r="F116" i="1"/>
  <c r="F186" i="1"/>
  <c r="J283" i="1"/>
  <c r="J326" i="1"/>
  <c r="J327" i="1"/>
  <c r="J158" i="1"/>
  <c r="I160" i="1"/>
  <c r="J325" i="1"/>
  <c r="I217" i="1"/>
  <c r="G57" i="1"/>
  <c r="I57" i="1" s="1"/>
  <c r="I247" i="1"/>
  <c r="F30" i="1"/>
  <c r="J32" i="1"/>
  <c r="J33" i="1"/>
  <c r="J188" i="1"/>
  <c r="J189" i="1"/>
  <c r="E213" i="1"/>
  <c r="F213" i="1"/>
  <c r="J216" i="1"/>
  <c r="E282" i="1"/>
  <c r="H324" i="1"/>
  <c r="G262" i="1"/>
  <c r="G158" i="1"/>
  <c r="I158" i="1" s="1"/>
  <c r="J120" i="1"/>
  <c r="I187" i="1"/>
  <c r="I190" i="1"/>
  <c r="J284" i="1"/>
  <c r="I371" i="1"/>
  <c r="I378" i="1"/>
  <c r="I325" i="1"/>
  <c r="I353" i="1"/>
  <c r="J334" i="1"/>
  <c r="H282" i="1"/>
  <c r="I283" i="1"/>
  <c r="H213" i="1"/>
  <c r="H186" i="1"/>
  <c r="H116" i="1"/>
  <c r="I117" i="1"/>
  <c r="H30" i="1"/>
  <c r="I234" i="1"/>
  <c r="J233" i="1"/>
  <c r="J234" i="1"/>
  <c r="J235" i="1"/>
  <c r="I233" i="1"/>
  <c r="I235" i="1"/>
  <c r="J232" i="1"/>
  <c r="I232" i="1"/>
  <c r="J230" i="1"/>
  <c r="J229" i="1"/>
  <c r="I229" i="1"/>
  <c r="I230" i="1"/>
  <c r="F228" i="1"/>
  <c r="G228" i="1"/>
  <c r="E228" i="1"/>
  <c r="G324" i="1" l="1"/>
  <c r="I324" i="1" s="1"/>
  <c r="I273" i="1"/>
  <c r="G186" i="1"/>
  <c r="I327" i="1"/>
  <c r="G213" i="1"/>
  <c r="I213" i="1" s="1"/>
  <c r="J282" i="1"/>
  <c r="G30" i="1"/>
  <c r="J324" i="1"/>
  <c r="J116" i="1"/>
  <c r="J213" i="1"/>
  <c r="J30" i="1"/>
  <c r="I214" i="1"/>
  <c r="J186" i="1"/>
  <c r="G282" i="1"/>
  <c r="I282" i="1" s="1"/>
  <c r="I228" i="1"/>
  <c r="J228" i="1"/>
  <c r="J294" i="1"/>
  <c r="J295" i="1"/>
  <c r="J296" i="1"/>
  <c r="J297" i="1"/>
  <c r="I294" i="1"/>
  <c r="I295" i="1"/>
  <c r="I296" i="1"/>
  <c r="I297" i="1"/>
  <c r="J293" i="1"/>
  <c r="I293" i="1"/>
  <c r="J291" i="1"/>
  <c r="I290" i="1"/>
  <c r="I291" i="1"/>
  <c r="F289" i="1"/>
  <c r="G289" i="1"/>
  <c r="H289" i="1"/>
  <c r="E289" i="1"/>
  <c r="J53" i="1"/>
  <c r="J54" i="1"/>
  <c r="I53" i="1"/>
  <c r="I54" i="1"/>
  <c r="J52" i="1"/>
  <c r="I52" i="1"/>
  <c r="J289" i="1" l="1"/>
  <c r="I289" i="1"/>
  <c r="J314" i="1" l="1"/>
  <c r="J315" i="1"/>
  <c r="I314" i="1"/>
  <c r="I315" i="1"/>
  <c r="J313" i="1"/>
  <c r="I313" i="1"/>
  <c r="J310" i="1"/>
  <c r="J311" i="1"/>
  <c r="I310" i="1"/>
  <c r="I311" i="1"/>
  <c r="F309" i="1"/>
  <c r="G309" i="1"/>
  <c r="H309" i="1"/>
  <c r="E309" i="1"/>
  <c r="J269" i="1"/>
  <c r="J270" i="1"/>
  <c r="J271" i="1"/>
  <c r="I269" i="1"/>
  <c r="I270" i="1"/>
  <c r="I271" i="1"/>
  <c r="J268" i="1"/>
  <c r="I268" i="1"/>
  <c r="J263" i="1"/>
  <c r="J264" i="1"/>
  <c r="J265" i="1"/>
  <c r="J266" i="1"/>
  <c r="I263" i="1"/>
  <c r="I264" i="1"/>
  <c r="I265" i="1"/>
  <c r="I266" i="1"/>
  <c r="F262" i="1"/>
  <c r="H262" i="1"/>
  <c r="I262" i="1" l="1"/>
  <c r="I309" i="1"/>
  <c r="J262" i="1"/>
  <c r="J309" i="1"/>
  <c r="J322" i="1"/>
  <c r="I322" i="1"/>
  <c r="J321" i="1"/>
  <c r="I321" i="1"/>
  <c r="J318" i="1"/>
  <c r="J319" i="1"/>
  <c r="I318" i="1"/>
  <c r="I319" i="1"/>
  <c r="G317" i="1"/>
  <c r="H317" i="1"/>
  <c r="E317" i="1"/>
  <c r="J317" i="1" l="1"/>
  <c r="I317" i="1"/>
  <c r="J241" i="1"/>
  <c r="J242" i="1"/>
  <c r="I242" i="1"/>
  <c r="I241" i="1"/>
  <c r="J238" i="1"/>
  <c r="J239" i="1"/>
  <c r="I238" i="1"/>
  <c r="I239" i="1"/>
  <c r="F237" i="1"/>
  <c r="G237" i="1"/>
  <c r="H237" i="1"/>
  <c r="E237" i="1"/>
  <c r="I237" i="1" l="1"/>
  <c r="J237" i="1"/>
  <c r="J280" i="1"/>
  <c r="I280" i="1"/>
  <c r="J278" i="1"/>
  <c r="I278" i="1"/>
  <c r="J204" i="1"/>
  <c r="J205" i="1"/>
  <c r="J206" i="1"/>
  <c r="I204" i="1"/>
  <c r="I205" i="1"/>
  <c r="I206" i="1"/>
  <c r="F203" i="1"/>
  <c r="G203" i="1"/>
  <c r="H203" i="1"/>
  <c r="E203" i="1"/>
  <c r="J203" i="1" l="1"/>
  <c r="I203" i="1"/>
  <c r="J211" i="1"/>
  <c r="J210" i="1"/>
  <c r="J209" i="1"/>
  <c r="I211" i="1"/>
  <c r="I209" i="1"/>
  <c r="I210" i="1"/>
  <c r="J208" i="1"/>
  <c r="I208" i="1"/>
  <c r="J111" i="1"/>
  <c r="I111" i="1"/>
  <c r="J307" i="1"/>
  <c r="J306" i="1"/>
  <c r="I307" i="1"/>
  <c r="I306" i="1"/>
  <c r="I305" i="1"/>
  <c r="J305" i="1"/>
  <c r="J300" i="1"/>
  <c r="J301" i="1"/>
  <c r="J302" i="1"/>
  <c r="I300" i="1"/>
  <c r="I301" i="1"/>
  <c r="I302" i="1"/>
  <c r="I303" i="1"/>
  <c r="H299" i="1"/>
  <c r="F299" i="1"/>
  <c r="G299" i="1"/>
  <c r="E299" i="1"/>
  <c r="J299" i="1" l="1"/>
  <c r="I299" i="1"/>
  <c r="I189" i="1"/>
  <c r="E194" i="1"/>
  <c r="E188" i="1" s="1"/>
  <c r="J196" i="1"/>
  <c r="J194" i="1"/>
  <c r="J195" i="1"/>
  <c r="I196" i="1"/>
  <c r="F193" i="1"/>
  <c r="H193" i="1"/>
  <c r="E186" i="1" l="1"/>
  <c r="I186" i="1" s="1"/>
  <c r="I188" i="1"/>
  <c r="I195" i="1"/>
  <c r="J193" i="1"/>
  <c r="I194" i="1"/>
  <c r="E193" i="1"/>
  <c r="G193" i="1"/>
  <c r="I193" i="1" l="1"/>
  <c r="J199" i="1"/>
  <c r="J200" i="1"/>
  <c r="J201" i="1"/>
  <c r="I199" i="1"/>
  <c r="I200" i="1"/>
  <c r="I201" i="1"/>
  <c r="J198" i="1"/>
  <c r="I198" i="1"/>
  <c r="J169" i="1"/>
  <c r="J173" i="1"/>
  <c r="J172" i="1"/>
  <c r="I172" i="1"/>
  <c r="I173" i="1"/>
  <c r="I174" i="1"/>
  <c r="J171" i="1"/>
  <c r="I171" i="1"/>
  <c r="J176" i="1"/>
  <c r="J180" i="1"/>
  <c r="J181" i="1"/>
  <c r="J182" i="1"/>
  <c r="J183" i="1"/>
  <c r="J184" i="1"/>
  <c r="I180" i="1"/>
  <c r="I181" i="1"/>
  <c r="I182" i="1"/>
  <c r="I183" i="1"/>
  <c r="I184" i="1"/>
  <c r="J179" i="1"/>
  <c r="I179" i="1"/>
  <c r="J106" i="1"/>
  <c r="J105" i="1"/>
  <c r="F104" i="1"/>
  <c r="H104" i="1"/>
  <c r="G116" i="1" l="1"/>
  <c r="I176" i="1"/>
  <c r="I169" i="1"/>
  <c r="J104" i="1"/>
  <c r="I106" i="1"/>
  <c r="I105" i="1"/>
  <c r="E104" i="1"/>
  <c r="G104" i="1"/>
  <c r="I120" i="1" l="1"/>
  <c r="I116" i="1"/>
  <c r="I104" i="1"/>
  <c r="I114" i="1" l="1"/>
  <c r="J110" i="1"/>
  <c r="I110" i="1"/>
  <c r="J109" i="1"/>
  <c r="I109" i="1"/>
  <c r="J108" i="1"/>
  <c r="I108" i="1"/>
  <c r="F67" i="1" l="1"/>
  <c r="G67" i="1"/>
  <c r="H67" i="1"/>
  <c r="J68" i="1"/>
  <c r="J69" i="1"/>
  <c r="J70" i="1"/>
  <c r="I68" i="1"/>
  <c r="I69" i="1"/>
  <c r="I70" i="1"/>
  <c r="G79" i="1"/>
  <c r="I79" i="1" s="1"/>
  <c r="G78" i="1"/>
  <c r="G77" i="1"/>
  <c r="I77" i="1" s="1"/>
  <c r="I86" i="1"/>
  <c r="J89" i="1"/>
  <c r="I89" i="1"/>
  <c r="J91" i="1"/>
  <c r="I91" i="1"/>
  <c r="J92" i="1"/>
  <c r="I92" i="1"/>
  <c r="J96" i="1"/>
  <c r="J97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90" i="1"/>
  <c r="J93" i="1"/>
  <c r="J94" i="1"/>
  <c r="J95" i="1"/>
  <c r="J73" i="1"/>
  <c r="I74" i="1"/>
  <c r="I78" i="1"/>
  <c r="I94" i="1"/>
  <c r="I95" i="1"/>
  <c r="I96" i="1"/>
  <c r="I97" i="1"/>
  <c r="I75" i="1"/>
  <c r="I80" i="1"/>
  <c r="I81" i="1"/>
  <c r="I82" i="1"/>
  <c r="I83" i="1"/>
  <c r="I85" i="1"/>
  <c r="I88" i="1"/>
  <c r="I90" i="1"/>
  <c r="I93" i="1"/>
  <c r="J72" i="1"/>
  <c r="G87" i="1"/>
  <c r="I87" i="1" s="1"/>
  <c r="G84" i="1"/>
  <c r="I84" i="1" s="1"/>
  <c r="G76" i="1"/>
  <c r="I76" i="1" s="1"/>
  <c r="G73" i="1"/>
  <c r="I73" i="1" s="1"/>
  <c r="G72" i="1"/>
  <c r="I72" i="1" s="1"/>
  <c r="J67" i="1" l="1"/>
  <c r="I67" i="1"/>
  <c r="G18" i="1"/>
  <c r="I19" i="1"/>
  <c r="J50" i="1"/>
  <c r="E49" i="1"/>
  <c r="E32" i="1" s="1"/>
  <c r="F48" i="1"/>
  <c r="H48" i="1"/>
  <c r="F389" i="1"/>
  <c r="G387" i="1"/>
  <c r="H387" i="1"/>
  <c r="H388" i="1"/>
  <c r="H6" i="1"/>
  <c r="F387" i="1"/>
  <c r="F388" i="1"/>
  <c r="J42" i="1"/>
  <c r="J43" i="1"/>
  <c r="J44" i="1"/>
  <c r="J45" i="1"/>
  <c r="J46" i="1"/>
  <c r="G41" i="1"/>
  <c r="E41" i="1" s="1"/>
  <c r="J41" i="1"/>
  <c r="G46" i="1"/>
  <c r="E46" i="1" s="1"/>
  <c r="G45" i="1"/>
  <c r="E45" i="1" s="1"/>
  <c r="G44" i="1"/>
  <c r="E44" i="1" s="1"/>
  <c r="G43" i="1"/>
  <c r="E43" i="1" s="1"/>
  <c r="G42" i="1"/>
  <c r="E42" i="1" s="1"/>
  <c r="J39" i="1"/>
  <c r="J38" i="1"/>
  <c r="J37" i="1"/>
  <c r="F36" i="1"/>
  <c r="H36" i="1"/>
  <c r="I33" i="1"/>
  <c r="J24" i="1"/>
  <c r="J23" i="1"/>
  <c r="G389" i="1"/>
  <c r="F22" i="1"/>
  <c r="H22" i="1"/>
  <c r="E389" i="1" l="1"/>
  <c r="I389" i="1" s="1"/>
  <c r="F386" i="1"/>
  <c r="J388" i="1"/>
  <c r="N388" i="1"/>
  <c r="J9" i="1"/>
  <c r="H389" i="1"/>
  <c r="H386" i="1" s="1"/>
  <c r="N387" i="1"/>
  <c r="J387" i="1"/>
  <c r="E387" i="1"/>
  <c r="I387" i="1" s="1"/>
  <c r="I32" i="1"/>
  <c r="I31" i="1"/>
  <c r="E22" i="1"/>
  <c r="I23" i="1"/>
  <c r="I41" i="1"/>
  <c r="J7" i="1"/>
  <c r="J22" i="1"/>
  <c r="G48" i="1"/>
  <c r="I37" i="1"/>
  <c r="I49" i="1"/>
  <c r="I9" i="1"/>
  <c r="I39" i="1"/>
  <c r="I50" i="1"/>
  <c r="G22" i="1"/>
  <c r="I24" i="1"/>
  <c r="E36" i="1"/>
  <c r="I38" i="1"/>
  <c r="G388" i="1"/>
  <c r="E48" i="1"/>
  <c r="J48" i="1"/>
  <c r="J8" i="1"/>
  <c r="J36" i="1"/>
  <c r="I45" i="1"/>
  <c r="I7" i="1"/>
  <c r="F6" i="1"/>
  <c r="I44" i="1"/>
  <c r="I43" i="1"/>
  <c r="I42" i="1"/>
  <c r="I46" i="1"/>
  <c r="G36" i="1"/>
  <c r="J18" i="1"/>
  <c r="J19" i="1"/>
  <c r="J20" i="1"/>
  <c r="I20" i="1"/>
  <c r="I18" i="1"/>
  <c r="J17" i="1"/>
  <c r="I17" i="1"/>
  <c r="J13" i="1"/>
  <c r="J14" i="1"/>
  <c r="J15" i="1"/>
  <c r="I15" i="1"/>
  <c r="I13" i="1"/>
  <c r="I14" i="1"/>
  <c r="F12" i="1"/>
  <c r="G12" i="1"/>
  <c r="H12" i="1"/>
  <c r="E12" i="1"/>
  <c r="I22" i="1" l="1"/>
  <c r="J386" i="1"/>
  <c r="E6" i="1"/>
  <c r="E388" i="1"/>
  <c r="I388" i="1" s="1"/>
  <c r="E30" i="1"/>
  <c r="I30" i="1" s="1"/>
  <c r="J389" i="1"/>
  <c r="N389" i="1"/>
  <c r="G386" i="1"/>
  <c r="I48" i="1"/>
  <c r="I8" i="1"/>
  <c r="I36" i="1"/>
  <c r="G6" i="1"/>
  <c r="J6" i="1"/>
  <c r="I12" i="1"/>
  <c r="J12" i="1"/>
  <c r="I6" i="1" l="1"/>
  <c r="E386" i="1"/>
  <c r="I386" i="1" s="1"/>
</calcChain>
</file>

<file path=xl/sharedStrings.xml><?xml version="1.0" encoding="utf-8"?>
<sst xmlns="http://schemas.openxmlformats.org/spreadsheetml/2006/main" count="1553" uniqueCount="334">
  <si>
    <t>ИНФОРМАЦИЯ
о выполнении целевых показателей и финансировании городских целевых 
 программ за 2012 год</t>
  </si>
  <si>
    <t>№ п/п</t>
  </si>
  <si>
    <t>Наименование программы, подпрограммы, целевого индикатора, показателя</t>
  </si>
  <si>
    <t>Единица измерения</t>
  </si>
  <si>
    <t>Начальный (базовый) уровень на момент начала реализации программы</t>
  </si>
  <si>
    <t>Плановое значение</t>
  </si>
  <si>
    <t>Фактическое значение</t>
  </si>
  <si>
    <t>Степень выполнения плана (%)</t>
  </si>
  <si>
    <t>количество показателей (индикаторов)</t>
  </si>
  <si>
    <t>количество выполненных показателей (индикаторов)</t>
  </si>
  <si>
    <t>нет информации</t>
  </si>
  <si>
    <t>Рейтинговая оценка</t>
  </si>
  <si>
    <t>на весь период реализации программы
(к моменту окончания программы)</t>
  </si>
  <si>
    <t>накопительным итогом за весь период с начала реализации программы</t>
  </si>
  <si>
    <t>программы 
в целом</t>
  </si>
  <si>
    <t>на 2012 год
(к концу текущего года)</t>
  </si>
  <si>
    <t>накопительным итогом с начала 2012 года
(на отчетную дату)</t>
  </si>
  <si>
    <t>3.</t>
  </si>
  <si>
    <t xml:space="preserve"> Городская целевая программа "Развитие физической культуры и спорта в городе Переславле-Залесском" на 2009-2012 годы</t>
  </si>
  <si>
    <t>Финансирование всего-</t>
  </si>
  <si>
    <t>тыс. руб.</t>
  </si>
  <si>
    <t>федеральный бюджет -</t>
  </si>
  <si>
    <t>областной бюджет-</t>
  </si>
  <si>
    <t>местный бюджет -</t>
  </si>
  <si>
    <t xml:space="preserve">Показатели: </t>
  </si>
  <si>
    <t>1. Удельный вес населения, систематически занимающихся физической культурой и спортом</t>
  </si>
  <si>
    <t>%</t>
  </si>
  <si>
    <t>2. Численность занимающихся в специализированных спортивных учреждениях</t>
  </si>
  <si>
    <t xml:space="preserve"> чел.</t>
  </si>
  <si>
    <t>3. Количество штатных работников физической культуры и спорта</t>
  </si>
  <si>
    <t>чел.</t>
  </si>
  <si>
    <t>4. Количество спортивных сооружений</t>
  </si>
  <si>
    <t>ед.</t>
  </si>
  <si>
    <t>I.</t>
  </si>
  <si>
    <t>ЗДРАВООХРАНЕНИЕ, ФИЗИЧЕСКАЯ КУЛЬТУРА И СПОРТ</t>
  </si>
  <si>
    <t>местные бюджеты -</t>
  </si>
  <si>
    <t>Уровень достижения плановых значений целевых индикаторов и показателей на 2011 год -</t>
  </si>
  <si>
    <t>1.</t>
  </si>
  <si>
    <t>4.</t>
  </si>
  <si>
    <t>Городская целевая программа "Комплексные меры противодействия злоупотреблению наркотиками и их незаконному обороту" на  2010-2012 гг.</t>
  </si>
  <si>
    <t xml:space="preserve">    областной бюджет-</t>
  </si>
  <si>
    <t xml:space="preserve">1. количество лиц с впервые установленным диагнозом "наркомания" </t>
  </si>
  <si>
    <t>2.Степень доступности наркотиков для незаконного потребления (отношение средне-месячного дохода на душу населения к средней стоимости одного грамма героина, находящегося в незаконном обороте</t>
  </si>
  <si>
    <t>3. Увеличение количества школ и учреждений начального профессионального образования, реализующих комплексные программы по профилактике потребления</t>
  </si>
  <si>
    <t>2.</t>
  </si>
  <si>
    <t>II</t>
  </si>
  <si>
    <t>ОБРАЗОВАНИЕ И МОЛОДЕЖНАЯ ПОЛИТИКА</t>
  </si>
  <si>
    <t>6.</t>
  </si>
  <si>
    <t>Городская целевая программа"Обеспечение отдыха, оздоровление, занятость детей и подростков города Переславля-Залесского на 2011-2013 год"</t>
  </si>
  <si>
    <t>тыс.руб.</t>
  </si>
  <si>
    <t>1. Удельный вес детей, охваченных всеми формами отдыха и оздоровления</t>
  </si>
  <si>
    <t>2. Удельный вес детей-сирот, детей, оставшихся без попечения родителей, задействованных в летней оздоровительной кампании</t>
  </si>
  <si>
    <t>3. Удельный вес профильных лагерей</t>
  </si>
  <si>
    <t>4.Удельный вес детей, трудоустроенных на временные рабочие места</t>
  </si>
  <si>
    <t>5.Колочество временных рабочих мест для детей и подростков 14-17лет</t>
  </si>
  <si>
    <t>6. Доля детей из малообеспеченных и многодетных семей, детей с ограниченными возможностями здоровья, охваченных летним отдыхом</t>
  </si>
  <si>
    <t>7.</t>
  </si>
  <si>
    <t>Городская целевая программа "Профилактика безнадзорности, правонарушений и защита прав несовершеннолетних на территории г.Переславля-Залесского" на 2009-2012 годы</t>
  </si>
  <si>
    <t>Финансирование, всего-</t>
  </si>
  <si>
    <t xml:space="preserve">  областной бюджет-</t>
  </si>
  <si>
    <t>городской бюджет-</t>
  </si>
  <si>
    <t>1. Доля безнадзорных детей от числа детского населения</t>
  </si>
  <si>
    <t>2. Количество безнадзорных детей на территории города</t>
  </si>
  <si>
    <t>3. Количество правонарушений, совершенных несовершеннолетними</t>
  </si>
  <si>
    <t>шт.</t>
  </si>
  <si>
    <t>4. Количество фактов жестокого обращения с детьми со стороны родителей или лиц, их заменяющих</t>
  </si>
  <si>
    <t>Городская целевая программа «Патриотическое воспитание граждан РФ, проживающих на территории  г. Переславля-Залесского» на 2011-2013 годы</t>
  </si>
  <si>
    <t xml:space="preserve">  1.Количкство проведенных мероприятий патриотической направленности</t>
  </si>
  <si>
    <t>2.Количество граждан, принявших участие в муниципальных мероприятия патриотической направленности</t>
  </si>
  <si>
    <t>3. Количество школьных музеев, музеев предприятий, учреждений, комнат Славы</t>
  </si>
  <si>
    <t>4.Количество клубов, общественных объединений патриотической направленности</t>
  </si>
  <si>
    <t>5.Количество областных мероприятий с участием граждан города Переславля-Залесского</t>
  </si>
  <si>
    <t>5.</t>
  </si>
  <si>
    <t>Ведомственная целевая программа "Обеспечение функционирования и развития муниципальной системы образования города Переславля-Залесского" на 2011-2013 годы</t>
  </si>
  <si>
    <t>областной бюджет -</t>
  </si>
  <si>
    <t>Показатели:</t>
  </si>
  <si>
    <r>
      <t>1.Количество образовательных учреждений, в которых проведен</t>
    </r>
    <r>
      <rPr>
        <b/>
        <sz val="9"/>
        <rFont val="Arial Narrow"/>
        <family val="2"/>
        <charset val="204"/>
      </rPr>
      <t xml:space="preserve"> </t>
    </r>
    <r>
      <rPr>
        <sz val="9"/>
        <rFont val="Arial Narrow"/>
        <family val="2"/>
        <charset val="204"/>
      </rPr>
      <t>капитальный ремонт помещений, зданий, инженерных сетей</t>
    </r>
  </si>
  <si>
    <t>2.Количество образовательных учреждений, в которых проведены работы по ремонту крыш</t>
  </si>
  <si>
    <t>3.Количество образовательных учреждений, в которых проведены работы по благоустройству территории</t>
  </si>
  <si>
    <t xml:space="preserve">4.Количество общеобразовательных учреждений, в которых переоснащены столовые </t>
  </si>
  <si>
    <t xml:space="preserve">5.Количество образовательных учреждений, в которых современно оснащены медицинские кабинеты </t>
  </si>
  <si>
    <t>6.Количество образовательных учреждений, в которых проведена техническая экспертиза состояния зданий</t>
  </si>
  <si>
    <t>7.Количество образовательных учреждений, в которых проведена подготовка проектно- сметной документации для проведения ремонта</t>
  </si>
  <si>
    <t>8.Количество образовательных учреждений, в которых проведены работы по установке систем видеонаблюдения и проведению мероприятий по противопожарной безопасности</t>
  </si>
  <si>
    <t xml:space="preserve">9.Число детей, которым предоставлены услуги дошкольного общего  образования </t>
  </si>
  <si>
    <t>10.Число детей, которым предоставлены услуги общего  образования</t>
  </si>
  <si>
    <t>11.Число детей из семей, находящихся в трудной жизненной ситуации, получающих бесплатное питание</t>
  </si>
  <si>
    <t>12.Число обучающихся, получающих услугу дополнительного образования</t>
  </si>
  <si>
    <t>13.Количество дополнительно созданных мест в дошкольных образовательных учреждениях</t>
  </si>
  <si>
    <t>14.Среднегодовое число педагогических работников, получающих методические и консультационные услуги</t>
  </si>
  <si>
    <t xml:space="preserve">15.Количество педагогических работников - участников городских семинаров и краткосрочных курсов, направленных на повышение профессионального мастерства </t>
  </si>
  <si>
    <t>16.Количество подготовленных методических материалов (брошюры, цифровые образовательные ресурсы)</t>
  </si>
  <si>
    <t>17.Среднегодовое число человек, получающих психолого-педагогические и медико-социальные услуги</t>
  </si>
  <si>
    <t>18.Количество оказанных психолого-педагогических и медико-социальных услуг за год</t>
  </si>
  <si>
    <t>19.Количество образовательных учреждений, реализующих инновационные  программы и проекты, имеющие статус городской инновационной площадки, получивших дополнительное финансирование</t>
  </si>
  <si>
    <t xml:space="preserve">20.Число педагогических работников, участников городских конкурсов профессионального мастерства </t>
  </si>
  <si>
    <t>21.Количество проведенных городских конкурсов и конференций по инновационной тематике</t>
  </si>
  <si>
    <t>22.Количество участников городских мероприятий, направленных на выявление и развитие способностей талантливых детей</t>
  </si>
  <si>
    <t>23.Количество участников областных и  всероссийских мероприятий, направленных на выявление и развитие способностей талантливых детей</t>
  </si>
  <si>
    <t>24.Количество одаренных детей, получивших материальное поощрение</t>
  </si>
  <si>
    <t>25.Количество городских мероприятий, направленных  на духовно-нравственное воспитание  детей и подростков и воспитание толерантности</t>
  </si>
  <si>
    <t>26.Количество участников городских и областных мероприятий, направленных  на духовно-нравственное воспитание детей и подростков, и воспитание толерантности</t>
  </si>
  <si>
    <t>Ведомственная целевая программа "Молодежь" на 2010-2012 годы</t>
  </si>
  <si>
    <t>услуг</t>
  </si>
  <si>
    <t>6.Количество детей, подростков, молодежи, молодых семей, вовлеченных в реализацию программ и проектоа по работе с детьми и молодежью</t>
  </si>
  <si>
    <t>III.</t>
  </si>
  <si>
    <t>СОЦИАЛЬНАЯ ПОЛИТИКА</t>
  </si>
  <si>
    <t>пенсионный фонд -</t>
  </si>
  <si>
    <t>Городская целевая программа "Развитие мер социальной поддержки населения г.Переславля-Залесского" на 2010-2012 годы</t>
  </si>
  <si>
    <t>Финансирование, всего</t>
  </si>
  <si>
    <t xml:space="preserve"> -Пенсионный фонд</t>
  </si>
  <si>
    <t xml:space="preserve"> -федеральный бюджет</t>
  </si>
  <si>
    <t xml:space="preserve"> -областной бюджет</t>
  </si>
  <si>
    <t xml:space="preserve"> -городской бюджет</t>
  </si>
  <si>
    <t>1. Число пожилых граждан, инвалидов, получивших адресную материальную помощь в рамках программы</t>
  </si>
  <si>
    <t xml:space="preserve">2. Число семей с детьми, получивших социальную поддержку в рамках программы </t>
  </si>
  <si>
    <t>3. Число обслуживаемых в МУ КЦСОН "Надежда"</t>
  </si>
  <si>
    <t xml:space="preserve">4.Число общественных организаций, действующих в сфере  оказания социальной помощи ветеранам и инвалидам, получивших материальную поддержку </t>
  </si>
  <si>
    <t>шт</t>
  </si>
  <si>
    <t>Городская целевая программа "Обеспечение первичных мер пожарной безопасности города Переславля-Залесского на 2011-2013 годы"</t>
  </si>
  <si>
    <t>Финансирование (городской бюджет)</t>
  </si>
  <si>
    <t>1. Отсутствие пожаров, случаев гибели людей и получивших травм в учреждениях</t>
  </si>
  <si>
    <t>2.Поддержание первичных средств пожаротушения в исправном состоянии</t>
  </si>
  <si>
    <t>объектов</t>
  </si>
  <si>
    <t>3.Оборудование учреждений системами автоматической пожарной сигнализации и оповещения людей при пожаре</t>
  </si>
  <si>
    <t>4. Обучение работников учреждений пожарной безопасности с получением соответствующих удостоверений</t>
  </si>
  <si>
    <t>Городская целевая программа "Борьба с преступностью в городе Переславле-Залесском" на 2010-2012 годы</t>
  </si>
  <si>
    <t>1. Количество зарегистрированных на территории города преступлений из них:</t>
  </si>
  <si>
    <t>IV.</t>
  </si>
  <si>
    <t>КУЛЬТУРА И ТУРИЗМ</t>
  </si>
  <si>
    <t>привлеченные источники-</t>
  </si>
  <si>
    <t>Городская целевая программа "Развитие сферы въездного и внутреннего туризма в городе Переславле-Залесском" на 2009-2012 годы"</t>
  </si>
  <si>
    <t>Финансирование:</t>
  </si>
  <si>
    <t xml:space="preserve">1. Численность принятых туристов и экскурсантов </t>
  </si>
  <si>
    <t>тыс.чел./год</t>
  </si>
  <si>
    <t xml:space="preserve">2. Объем туристско-гостиничных услуг* </t>
  </si>
  <si>
    <t>млн.руб./год</t>
  </si>
  <si>
    <t>3.Численность занятых в сфере туризма ит отдыха</t>
  </si>
  <si>
    <t>чел</t>
  </si>
  <si>
    <t>4. Количество средств размещения</t>
  </si>
  <si>
    <t>Ведомственная целевая программа "Развитие сферы культуры г.Переславля-Залесского на 2011-2013 годы"</t>
  </si>
  <si>
    <t>1.Численности населения систематически занимающихся в коллективах художественного самодеятельного творчества и клубах по интересам</t>
  </si>
  <si>
    <t>2. Численность культурно-массовых мероприятий</t>
  </si>
  <si>
    <t>3. Численность граждан, посетивших культурно-массовые мероприятия</t>
  </si>
  <si>
    <t>4. Численность зарегистрированных пользователей библиотек</t>
  </si>
  <si>
    <t>V.</t>
  </si>
  <si>
    <t>ЖИЛИЩНО-КОММУНАЛЬНОЕ ХОЗЯЙСТВО И ГРАДОСТРОИТЕЛЬСТВО</t>
  </si>
  <si>
    <t>внебюджентые средства -</t>
  </si>
  <si>
    <t>доп.финансирование местный бюджет -</t>
  </si>
  <si>
    <t>Городская целевая программа «Комплексная программа модернизации и реформирования жилищно-коммунального хозяйства города Переславля-Залесского» на 2011-2014 годы</t>
  </si>
  <si>
    <t xml:space="preserve">1. Снижение уровня износа теплоснабжения </t>
  </si>
  <si>
    <t>2. Снижение удельного веса потерь тепловой энергии в процессе производства и транспортировки до потребителей в результате модернизации</t>
  </si>
  <si>
    <t>3. Повышение уровня газификации жилищного фонда города</t>
  </si>
  <si>
    <t>4. Увеличение протяженности сетей газоснабжения</t>
  </si>
  <si>
    <t>км</t>
  </si>
  <si>
    <t>2012 года</t>
  </si>
  <si>
    <t>Городская целевая программа "О муниципальной поддержке отдельных категорий граждан, проживающих в г. Переславле-Залесском, по проведению ремонта жилых помещений и (или) работ, направленных на повышение уровня обеспеченности их коммунальными услугами на 2010-2013 годы"</t>
  </si>
  <si>
    <t>1.Количество проведенных осмотров жилых помещений ветеранов ВОВ 1941-1945г. от количества поданных заявлений</t>
  </si>
  <si>
    <t>2.Количество ветеранов ВОВ 1941-1945 г., улучшивших условия проживания, от количества признанных нуждающимися в улучшении условий проживания</t>
  </si>
  <si>
    <t xml:space="preserve">Городская целевая программа "Жилище" на 2011-2015 годы. Подпрограмма"Муниципальная поддержка молодых семей г.Переславля-Залесского в приобретении (строительстве) жилья" </t>
  </si>
  <si>
    <t>Финансирование</t>
  </si>
  <si>
    <t>внебюджетные источники -</t>
  </si>
  <si>
    <t xml:space="preserve">1. Количество молодых семей, получивших в установленном порядке свидетельства о праве на получение социальной выплаты </t>
  </si>
  <si>
    <t>семей</t>
  </si>
  <si>
    <t xml:space="preserve">2. Соотношение количества молодых семей, фактически получивших муниципальную поддержку, к плану </t>
  </si>
  <si>
    <t>Городская целевая программа "Энергосбережение на территории города Переславля-Залесского на 2011-2013 годы"</t>
  </si>
  <si>
    <t>внебюджетные средства -</t>
  </si>
  <si>
    <t>1.Доля организация финансируемых из бюджета города, оснащенных приборами учета энергоресурсов</t>
  </si>
  <si>
    <t>2. Объем экономии топливно-энергетических ресурсов (в тоннах условного топлива)</t>
  </si>
  <si>
    <t>т.у.т</t>
  </si>
  <si>
    <t>2. Доля многоквартирных домов, собственники которых выбрали и реализуют способ управления  многоквартирным домом (от общего количества отремантированных домов)</t>
  </si>
  <si>
    <t>3. Доля товариществ собственников жилья в общем количестве многоквартирных домов города</t>
  </si>
  <si>
    <t>4.Количество многоквартирных домов,в которых проведен капитальный ремонт</t>
  </si>
  <si>
    <t>1.Площадь жилищного фонда, признанного непригодным для проживания, и (или) с высоким уровнем износа, из которого расселены граждане в результате реализации Программы</t>
  </si>
  <si>
    <t>кв. м.</t>
  </si>
  <si>
    <t>2. Площадь жилых помещений, в т.ч. в строящихся домах, приобретенных путем долевого  участия в строительстве или строительства домов для обеспечения благоустроенными жилыми помещениями граждан, переселяемых из жилищного фонда, признанного непригодным для проживания, и (или) с высоким уровнем износа</t>
  </si>
  <si>
    <t>3. Количество граждан, переселенных в результате реализации Программы</t>
  </si>
  <si>
    <t>VI.</t>
  </si>
  <si>
    <t>ПРОМЫШЛЕННОСТЬ, ПРЕДПРИНИМАТЕЛЬСТВО, ТРАНСПОРТ,СВЯЗЬ, ПОТРЕБИТЕЛЬСКИЙ РЫНОК ТОВАРОВ И УСЛУГ</t>
  </si>
  <si>
    <t>Городская целевая программа "Чистая вода" на 2011-2014г.</t>
  </si>
  <si>
    <t>местный бюджет-</t>
  </si>
  <si>
    <t>1.Уровень износа объектов коммунального водоснабжения и водоотведения</t>
  </si>
  <si>
    <t>2.Удельный вес потерь воды в процессе производства и транспортировки, в т.ч.из-за аварий</t>
  </si>
  <si>
    <t>3.Доля населения, обеспеченого питьевой водой надлежащего качества г.Переславля-Залесского</t>
  </si>
  <si>
    <t>4.Доля населения, имеющего доступ к централизованному водоснабжению г.Переславля-Залесского</t>
  </si>
  <si>
    <t>5.Доля сточных вод, соответствующих установленным требованиям</t>
  </si>
  <si>
    <t>Городская целевая программа "Развитие субъектов малого и среднего предпринимательства  в г.Переславле-Залесском  на 2010-2012 годы"</t>
  </si>
  <si>
    <t>Финансирование , всего</t>
  </si>
  <si>
    <t xml:space="preserve"> областной бюджет-</t>
  </si>
  <si>
    <t xml:space="preserve">городской бюджет - </t>
  </si>
  <si>
    <t xml:space="preserve">внебюджетные средства - </t>
  </si>
  <si>
    <t>1.Численность работников, занятых в малом и среднем бизнесе</t>
  </si>
  <si>
    <t>2.Оборот предприятий малого бизнеса (огружено товаров собственного производства)</t>
  </si>
  <si>
    <t>млн.руб.</t>
  </si>
  <si>
    <t>3.Объем налоговых поступлений от субъектов  среднего и малого предпринимательства в бюджет города</t>
  </si>
  <si>
    <t>Городская целевая программа "Сохранность автомобильных дорог г.Переславля-Залесского" на 2010-2015 год</t>
  </si>
  <si>
    <t>1. Содержание автомобильных дорог муниципального значения</t>
  </si>
  <si>
    <t>2. Капитальный ремонт и ремонт автомобильных дорог местного значения</t>
  </si>
  <si>
    <t xml:space="preserve">3. Уровень денежных затрат на содержание, капитальный ремонт и ремонт автомобильных дорог местного значения
</t>
  </si>
  <si>
    <t>% от норматива</t>
  </si>
  <si>
    <t>Городская целевая программа "Обращение с твердыми бытовыми отходами на территории г.Переславля-Залесского" на 2011-2014 годы</t>
  </si>
  <si>
    <t>1.Количество твердых бытовых отходов проходящих через сортировку и раздельный сбор, к общему объёму ТБО</t>
  </si>
  <si>
    <t>2. Количество вторичных материальных ресурсов, извлекаемых из ТБО, к общему объёму ТБО</t>
  </si>
  <si>
    <t>VII</t>
  </si>
  <si>
    <t>ПРОЧИЕ</t>
  </si>
  <si>
    <t>2. Обеспечение техническими средствами рабочего места диспетчера ЕДДС</t>
  </si>
  <si>
    <t xml:space="preserve"> 1.обучение диспетчеров ЕДДС в учебном центре ГОЧС</t>
  </si>
  <si>
    <t>Городская целевая программа "Реформирование муниципальных финансов городского округа города Переславля-Залесского на 2009-2012 г.г."</t>
  </si>
  <si>
    <t>Уровень достижения плановых значений целевых индикаторов и показателей на 2012 год -</t>
  </si>
  <si>
    <t>5. Доля детей, состоящих на различных видах учета, в общем количестве трудоустроенных детей</t>
  </si>
  <si>
    <t>нет данных</t>
  </si>
  <si>
    <t xml:space="preserve"> </t>
  </si>
  <si>
    <t>- тяжких и особо тяжких</t>
  </si>
  <si>
    <t>- ранее судимыми</t>
  </si>
  <si>
    <t>- неработающими</t>
  </si>
  <si>
    <t>- безработными</t>
  </si>
  <si>
    <t>- несовершеннолетними</t>
  </si>
  <si>
    <t>- в нетрезвом сосотоянии</t>
  </si>
  <si>
    <t>кол-во объектов.</t>
  </si>
  <si>
    <t>ГЦП "Повышение эффективности бюджетных расходов городского округа города Переславля-Залесского" на 2011-2013 годы</t>
  </si>
  <si>
    <t>Финансирование всего -</t>
  </si>
  <si>
    <t>федеральный бюджет-</t>
  </si>
  <si>
    <t>ГЦП "Социальная поддержка пожилых граждан в городе Переславле-Залесском" на 2012-2013 годы</t>
  </si>
  <si>
    <t>Показатели</t>
  </si>
  <si>
    <t>ГЦП "Обеспечение г. Переславля-Залесского градостроительной документацией на 2010-2012 годы"</t>
  </si>
  <si>
    <t>ГЦП "Жилище" на 2011-2012 годы: "Государственная и муниципальная поддержка граждан, проживающих на территории города Переславля-Залесского, в сфере ипотечного жилищного кредитования"</t>
  </si>
  <si>
    <t>ГЦП "Жилище" на 2011-2015 годы: Подпрограмма "Переселение граждан из жилищного фонда города Переславля-Залесского, признанного непригодным для проживания, и (или) с высоким уровнем износа"</t>
  </si>
  <si>
    <t>1. Доля капитально отремонтированного жилья выборочным и комплексным ремонтом в общей площади жилищного фонда города</t>
  </si>
  <si>
    <t>1. Количество введенных в эксплуатацию МКД</t>
  </si>
  <si>
    <t>2.Количество разработанных ПСД и проведенных экспертиз, для реализации градостроительной политики города Переславля-Залесского</t>
  </si>
  <si>
    <t>3.Количество законченных проектов реконструкции существующих кварталов города</t>
  </si>
  <si>
    <t>ВСЕГО ПО ПРОГРАММАМ</t>
  </si>
  <si>
    <t>1.Отклонение потребности в предоставляемых муниципальных услугах (по видам) от фактически предоставленных в отчетном году в натуральном и стоимостном выражении, не более 15 %</t>
  </si>
  <si>
    <t>2. Доля муниципальных услуг, имеющих базовые требования к качеству предоставления в общем количестве видов услуг  - 100 %</t>
  </si>
  <si>
    <t>3. Доля муниципальных услуг, предоставляемых в соответствии с муниципальными заданиями, - 100 %</t>
  </si>
  <si>
    <t>4. Доля муниципальных услуг, предоставляемых не бюджетными учреждениями (автономными организациями, частными компаниями), - 35 %</t>
  </si>
  <si>
    <t>5. Доля муниципальных услуг, соответствующих установленным базовым требованиям к качеству предоставления, - 80 %</t>
  </si>
  <si>
    <t>6.Доля расходов бюджета, направляемых на финансирование целевых программ (ведомственных, городских/долгосрочных), - не менее 30 %</t>
  </si>
  <si>
    <t xml:space="preserve"> 7. Доля расходов бюджета, регулируемых нормативно-правовыми актами, отраженными в реестре расходных обязательств, - 90 %</t>
  </si>
  <si>
    <t xml:space="preserve"> 8. Доля расходов бюджета, имеющих детальный порядок расчета расходных обязательств- не менее 50 %</t>
  </si>
  <si>
    <t>9. Прирост средней по распорядителям бюджетных средств оценки качества финансового менеджмента за отчетный год к предыдущему;</t>
  </si>
  <si>
    <t>10.Отсутствие просроченной задолженности по средствам, привлекаемым на покрытие кассовых разрывов;</t>
  </si>
  <si>
    <t xml:space="preserve"> 11. Отсутствие просроченной кредиторской задолженности у бюджетных учреждений и муниципальных унитарных предприятий</t>
  </si>
  <si>
    <t>12. Предельный месячный прирост совокупной кредиторской задолженности всех бюджетных учреждений и муниципальных унитарных предприятий  не более 1/12 годовых расходов городского бюджета</t>
  </si>
  <si>
    <t>13. Объем налоговых льгот - не более 5 % налоговых доходов бюджета</t>
  </si>
  <si>
    <t>14. Соответствие количества муниципальных унитарных предприятий установленным критериям целесообразности сохранения их в муниципальной собственности на 90 %</t>
  </si>
  <si>
    <t>областной бюджеты -</t>
  </si>
  <si>
    <t xml:space="preserve">федеральный бюджет (фонд содействия реформированию жилищно-коммунального хозяйства) </t>
  </si>
  <si>
    <t>1. Количество индивидуальных и групповых услуг социальной помощи и поддержки молодежи муниципальными социальными учреждения молодежи</t>
  </si>
  <si>
    <t>2. Количество детей, подростков, молодежи и молодых семей, которым предоставлены услуги социальной помощи и поддержки молодежи</t>
  </si>
  <si>
    <t>3. Количество детей 14-17 лет, трудоустроенных на временные рабочие места</t>
  </si>
  <si>
    <t>4. Доля детей, оказавшихся в трудной жизненой ситуации, в общем количистве трудоустроенных детей</t>
  </si>
  <si>
    <t>7. Степень удовлетворенности детей. Подростков, молодежи, молодых семей оказанными услугами социальной помощи и поддержки молодежи муниципальными социальными учреждениями молодежи</t>
  </si>
  <si>
    <t>федеральный бюджет (фонд содействия реформированию жилищно-коммунального хозяйства)</t>
  </si>
  <si>
    <t>местные бюджет-</t>
  </si>
  <si>
    <t>ГЦП "Доступная среда" на 2012-2015 годы</t>
  </si>
  <si>
    <t>Городская адресная программа по проведению капитального ремонта многоквартирных домов в городе Переславле-Залесском на 2012 год- 5этап</t>
  </si>
  <si>
    <t>Городская адресная программа  "Переселение граждан из аварийного жилищного фонда города Переславля-Залесского на 2012 год"</t>
  </si>
  <si>
    <t>Финансирование, всего -</t>
  </si>
  <si>
    <t>Финансирование всего (местные бюджеты)</t>
  </si>
  <si>
    <t>Ведомственная целевая программа "Совершенствование единой дежурно-диспетчерской службы города Переславля-Залесского на 2012-2014 годы"</t>
  </si>
  <si>
    <t>1. Площадь жилищного фонда, признанного непригодным для продивания, и (или) с высоким уровнем износа, из которого расселены граждане в результате реализации программы</t>
  </si>
  <si>
    <t>кв.м.</t>
  </si>
  <si>
    <t>Вывод об эффективности целевых программ</t>
  </si>
  <si>
    <t>Итоговая сводная оценка баллов</t>
  </si>
  <si>
    <t>Предложения по дальнейшей реализации целевой программы</t>
  </si>
  <si>
    <t>1. Количество семей, которые улучшат жилищные условия при поддержке областного и местного бюджетов</t>
  </si>
  <si>
    <t>2. Площадь жилья, приобретенного (построенного) при использовании средств областного и местного бюджетов</t>
  </si>
  <si>
    <t>свыше 100%</t>
  </si>
  <si>
    <t xml:space="preserve">1. Количество пожилых граждан
и граждан, оказавшихся в трудной жизненной ситуации, получивших материальную помощь
</t>
  </si>
  <si>
    <t>2. Количество граждан пожилого возраста, воспользовавшихся услугами МУ КЦСОН «Надежда»</t>
  </si>
  <si>
    <t>3. Количество услуг пожилым гражданам, предоставленных на базе МУ КЦСОН «Надежда»</t>
  </si>
  <si>
    <t>4. Количество обслуживаемых на 10 тысяч пенсионеров</t>
  </si>
  <si>
    <t>6. Количество пожилых людей, получивших социальные услуги через МУ «Молодежный центр»</t>
  </si>
  <si>
    <t>7. Количество молодёжи, привлечённой к деятельности студенческих (молодёжных) отрядов, осуществляющих ремонт квартир (домов) ветеранов и пожилых людей</t>
  </si>
  <si>
    <t>8. Количество молодёжи, привлечённой к оказанию молодёжными и подростковыми бригадами помощи пожилым людям в ведении приусадебного хозяйства «Социальные огороды»</t>
  </si>
  <si>
    <t>9. Количество культурно-досуговых и массовых мероприятий в учреждениях культуры всех типов, посвященных празднованию Дню пожилого человека, в том числе вечеров отдыха, гастролей, концертов, спектаклей, представлений, тематических программ, презентаций и т.п</t>
  </si>
  <si>
    <t>10. Количество посетителей культурно-досуговых и массовых мероприятий в учреждениях культуры всех типов (с учетом участников клубных формирований пожилых людей)</t>
  </si>
  <si>
    <t>11. Количество клубных формирований – организаторов и исполнителей культурно-досуговых и массовых мероприятий в учреждениях культуры всех типов</t>
  </si>
  <si>
    <t>5. Количество отремонтированных жилых помещений, принадлежащих граждан пожилого возраста</t>
  </si>
  <si>
    <t>12. Реализация мероприятий комплексного паспорта безопасности МУ КЦСОН «Надежда»</t>
  </si>
  <si>
    <t>тыс.ед.</t>
  </si>
  <si>
    <t>1. Количество объектов жилищного фонда, в которых обеспечена физическая доступность для инвалидов, с учетом их особых потребностей</t>
  </si>
  <si>
    <t>2. Количество приоритетных объектов социальной инфраструктуры, в которых обеспечена физическая доступность для инвалидов, с учетом их особых потребностей (в том числе в сфере:</t>
  </si>
  <si>
    <t>- социальной защиты (в 2013г. предусмотрено дооборудование уже частично адаптированных объектов)</t>
  </si>
  <si>
    <t xml:space="preserve">- образования </t>
  </si>
  <si>
    <t>-молодежной политики</t>
  </si>
  <si>
    <t>-культуры</t>
  </si>
  <si>
    <t xml:space="preserve">-транспортной инфраструктуры </t>
  </si>
  <si>
    <t xml:space="preserve">3. Количество общественного транспорта, оборудованного для перевозки инвалидов и других маломобильных групп населения </t>
  </si>
  <si>
    <t>4. Количество общеобразовательных школ, в которых создана универсальная среда, позволяющая обучаться совместно инвалидам и детям, не имеющим нарушения развития</t>
  </si>
  <si>
    <t>5. Численность инвалидов и других маломобильных групп населения, систематически занимающихся физической культурой и  спортом</t>
  </si>
  <si>
    <t>6. Численность инвалидов с ограниченными возможностями передвижения, обеспеченных специальными средствами и приспособлениями для оборудования и оснащения жилых помещений, занимаемых инвалидами, с целью формирования доступной среды жизнедеятельности</t>
  </si>
  <si>
    <t xml:space="preserve">7. Численность трудоустроенных инвалидов </t>
  </si>
  <si>
    <t>8. Количество организованных и проведенных мероприятий при совместном участии инвалидов и граждан, не являющихся инвалидами</t>
  </si>
  <si>
    <t>Кол-во объектов</t>
  </si>
  <si>
    <t>Ед.</t>
  </si>
  <si>
    <t>Чел.</t>
  </si>
  <si>
    <t>Кол-во чел.</t>
  </si>
  <si>
    <t>Кол-во мероприятий</t>
  </si>
  <si>
    <t>Текущая эффективность</t>
  </si>
  <si>
    <t>Степень выполнения плана 2012 года</t>
  </si>
  <si>
    <t>Фактическое значениенакопительным итогом с начала 2012 года
(на отчетную дату)</t>
  </si>
  <si>
    <t>Плановое значение на 2012 год
(к концу текущего года)</t>
  </si>
  <si>
    <t>Рекомендовано продолжить действие программы</t>
  </si>
  <si>
    <t>Текущая эффективность выше плана</t>
  </si>
  <si>
    <t>Текущая эффективность ниже плана</t>
  </si>
  <si>
    <t>Эффективность программы</t>
  </si>
  <si>
    <t>Эффективность программы выше плана</t>
  </si>
  <si>
    <t>Текущая эффективность на плановом уровне</t>
  </si>
  <si>
    <t>Эффективность программы выше плановой</t>
  </si>
  <si>
    <t>Эффективность программы на плановом уровне</t>
  </si>
  <si>
    <t>Эффективность программы ниже плана</t>
  </si>
  <si>
    <t>27 Количество работников обеспечивающих сопровождение приёмных и опекунских  семей</t>
  </si>
  <si>
    <t>28 Количество детей-сирот, оставшихся без попечения родителей, находящихся под опекой (попечительством), получающих жилое помещение</t>
  </si>
  <si>
    <t>29 Количество приёмных семей</t>
  </si>
  <si>
    <t>30 Количество детей, не имеющих родителей и оставшихся без попечения родителей</t>
  </si>
  <si>
    <t>31 Количество детей, находящихся под опекой или попечительством, на которых предусматриваются ежемесячные выплаты</t>
  </si>
  <si>
    <t xml:space="preserve">  1.Количество проведенных мероприятий патриотической направленности</t>
  </si>
  <si>
    <t>Программа закончила свое действие</t>
  </si>
  <si>
    <t>1. Создание организационных и правовых предпосылок для повышения эффективности бюджетных расходов в г. Переславле-Залесском</t>
  </si>
  <si>
    <t>3. Наличие муниципально-правовых актов, регламентирующих предоставление муниципальных услуг на территории города</t>
  </si>
  <si>
    <t xml:space="preserve">4. Расширение доступности и улучшение качества предоставления муниципальных услуг </t>
  </si>
  <si>
    <t>5. Эффективное использование средств бюджета г. Переславля-Залесского</t>
  </si>
  <si>
    <t>6. Повышение открытости деятельности муниципальных учреждений</t>
  </si>
  <si>
    <t>7. Оптимизация расходов бюджета на предоставление муниципальных услуг за счет внедрения нормативов затрат</t>
  </si>
  <si>
    <t>Группа индикаторов "Обеспечение сбалансированности и устойчивости местных бюджетов"</t>
  </si>
  <si>
    <t>Группа индикаторов "Внедрение программно-целевых принципав организации деятельности органов местного самоуправления"</t>
  </si>
  <si>
    <t>Группа индикаторов "Реструктуризация бюджетного сектора"</t>
  </si>
  <si>
    <t>Группа индикаторов "Развитие информационной системы управления муниципальными финансами"</t>
  </si>
  <si>
    <t xml:space="preserve">2. Ежегодное увеличение объемов финансирования программно-целевых расходов бюджета не менее чем на 2,5 процента, начиная с 2013 года (доля программно-целевых расходов бюджета в 2011 году достигла 50%) </t>
  </si>
  <si>
    <t>8. Развитие методов и видов муниципального финансового контроля</t>
  </si>
  <si>
    <t>да</t>
  </si>
  <si>
    <t xml:space="preserve"> Результативность текущего исполнения бюджетных средств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</si>
</sst>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р_._-;\-* #,##0.00_р_._-;_-* &quot;-&quot;??_р_._-;_-@_-"/>
    <numFmt numFmtId="164" formatCode="#,##0.0"/>
    <numFmt numFmtId="165" formatCode="0.0%"/>
    <numFmt numFmtId="166" formatCode="0.0"/>
    <numFmt numFmtId="167" formatCode="_-* #,##0_р_._-;\-* #,##0_р_._-;_-* &quot;-&quot;??_р_._-;_-@_-"/>
    <numFmt numFmtId="168" formatCode="#,##0.0_р_."/>
    <numFmt numFmtId="169" formatCode="#,##0.00_р_."/>
    <numFmt numFmtId="170" formatCode="_-* #,##0.0_р_._-;\-* #,##0.0_р_._-;_-* &quot;-&quot;?_р_._-;_-@_-"/>
  </numFmts>
  <fonts count="6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3"/>
      <color indexed="18"/>
      <name val="Times New Roman"/>
      <family val="1"/>
      <charset val="204"/>
    </font>
    <font>
      <sz val="10"/>
      <name val="Arial Narrow"/>
      <family val="2"/>
      <charset val="204"/>
    </font>
    <font>
      <sz val="9"/>
      <color indexed="18"/>
      <name val="Arial Narrow"/>
      <family val="2"/>
      <charset val="204"/>
    </font>
    <font>
      <sz val="8"/>
      <name val="Arial Narrow"/>
      <family val="2"/>
      <charset val="204"/>
    </font>
    <font>
      <sz val="9"/>
      <name val="Arial Narrow"/>
      <family val="2"/>
      <charset val="204"/>
    </font>
    <font>
      <b/>
      <u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Arial Narrow"/>
      <family val="2"/>
    </font>
    <font>
      <sz val="9"/>
      <color indexed="9"/>
      <name val="Arial Narrow"/>
      <family val="2"/>
      <charset val="204"/>
    </font>
    <font>
      <sz val="9"/>
      <color indexed="61"/>
      <name val="Arial Narrow"/>
      <family val="2"/>
      <charset val="204"/>
    </font>
    <font>
      <sz val="9"/>
      <name val="Arial"/>
      <family val="2"/>
      <charset val="204"/>
    </font>
    <font>
      <sz val="10"/>
      <name val="Times New Roman"/>
      <family val="1"/>
      <charset val="204"/>
    </font>
    <font>
      <sz val="9"/>
      <color indexed="60"/>
      <name val="Arial Narrow"/>
      <family val="2"/>
      <charset val="204"/>
    </font>
    <font>
      <sz val="9"/>
      <color indexed="8"/>
      <name val="Arial Narrow"/>
      <family val="2"/>
      <charset val="204"/>
    </font>
    <font>
      <b/>
      <sz val="9"/>
      <name val="Times New Roman"/>
      <family val="1"/>
      <charset val="204"/>
    </font>
    <font>
      <b/>
      <sz val="9"/>
      <name val="Arial Narrow"/>
      <family val="2"/>
      <charset val="204"/>
    </font>
    <font>
      <b/>
      <sz val="9"/>
      <color indexed="18"/>
      <name val="Arial Narrow"/>
      <family val="2"/>
      <charset val="204"/>
    </font>
    <font>
      <b/>
      <sz val="9"/>
      <color indexed="61"/>
      <name val="Arial Narrow"/>
      <family val="2"/>
      <charset val="204"/>
    </font>
    <font>
      <b/>
      <sz val="9"/>
      <color indexed="9"/>
      <name val="Arial Narrow"/>
      <family val="2"/>
      <charset val="204"/>
    </font>
    <font>
      <b/>
      <sz val="9"/>
      <color rgb="FF000080"/>
      <name val="Arial Narrow"/>
      <family val="2"/>
      <charset val="204"/>
    </font>
    <font>
      <sz val="9"/>
      <color rgb="FF000080"/>
      <name val="Arial Narrow"/>
      <family val="2"/>
      <charset val="204"/>
    </font>
    <font>
      <b/>
      <sz val="9"/>
      <color rgb="FF000080"/>
      <name val="Times New Roman"/>
      <family val="1"/>
      <charset val="204"/>
    </font>
    <font>
      <sz val="9"/>
      <color rgb="FF000080"/>
      <name val="Times New Roman"/>
      <family val="1"/>
      <charset val="204"/>
    </font>
    <font>
      <sz val="9"/>
      <color theme="1"/>
      <name val="Arial Narrow"/>
      <family val="2"/>
      <charset val="204"/>
    </font>
    <font>
      <sz val="9"/>
      <color rgb="FF000000"/>
      <name val="Arial Narrow"/>
      <family val="2"/>
      <charset val="204"/>
    </font>
    <font>
      <b/>
      <sz val="9"/>
      <color indexed="60"/>
      <name val="Arial Narrow"/>
      <family val="2"/>
      <charset val="204"/>
    </font>
    <font>
      <sz val="9"/>
      <color indexed="62"/>
      <name val="Arial Narrow"/>
      <family val="2"/>
      <charset val="204"/>
    </font>
    <font>
      <b/>
      <sz val="9"/>
      <color indexed="62"/>
      <name val="Arial Narrow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000080"/>
      <name val="Calibri"/>
      <family val="2"/>
      <charset val="204"/>
      <scheme val="minor"/>
    </font>
    <font>
      <b/>
      <sz val="9"/>
      <color theme="1"/>
      <name val="Arial Narrow"/>
      <family val="2"/>
      <charset val="204"/>
    </font>
    <font>
      <b/>
      <sz val="11"/>
      <color rgb="FF000080"/>
      <name val="Calibri"/>
      <family val="2"/>
      <charset val="204"/>
      <scheme val="minor"/>
    </font>
    <font>
      <b/>
      <i/>
      <u/>
      <sz val="10"/>
      <name val="Times New Roman"/>
      <family val="1"/>
      <charset val="204"/>
    </font>
    <font>
      <b/>
      <i/>
      <sz val="9"/>
      <name val="Arial Narrow"/>
      <family val="2"/>
      <charset val="204"/>
    </font>
    <font>
      <b/>
      <i/>
      <sz val="9"/>
      <color indexed="61"/>
      <name val="Arial Narrow"/>
      <family val="2"/>
      <charset val="204"/>
    </font>
    <font>
      <b/>
      <i/>
      <sz val="9"/>
      <color indexed="9"/>
      <name val="Arial Narrow"/>
      <family val="2"/>
      <charset val="204"/>
    </font>
    <font>
      <b/>
      <i/>
      <sz val="9"/>
      <color indexed="18"/>
      <name val="Arial Narrow"/>
      <family val="2"/>
      <charset val="204"/>
    </font>
    <font>
      <b/>
      <i/>
      <sz val="10"/>
      <color indexed="18"/>
      <name val="Arial Narrow"/>
      <family val="2"/>
      <charset val="204"/>
    </font>
    <font>
      <b/>
      <i/>
      <sz val="10"/>
      <color indexed="61"/>
      <name val="Arial Narrow"/>
      <family val="2"/>
      <charset val="204"/>
    </font>
    <font>
      <i/>
      <sz val="9"/>
      <name val="Arial Narrow"/>
      <family val="2"/>
      <charset val="204"/>
    </font>
    <font>
      <b/>
      <sz val="9"/>
      <color rgb="FFCCCCFF"/>
      <name val="Arial Narrow"/>
      <family val="2"/>
      <charset val="204"/>
    </font>
    <font>
      <sz val="10"/>
      <color rgb="FF000080"/>
      <name val="Times New Roman"/>
      <family val="1"/>
      <charset val="204"/>
    </font>
    <font>
      <b/>
      <sz val="10"/>
      <color rgb="FF00008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color rgb="FF000080"/>
      <name val="Arial Narrow"/>
      <family val="2"/>
    </font>
    <font>
      <sz val="9"/>
      <color rgb="FF000080"/>
      <name val="Arial Narrow"/>
      <family val="2"/>
    </font>
    <font>
      <b/>
      <sz val="9"/>
      <color rgb="FF000000"/>
      <name val="Arial Narrow"/>
      <family val="2"/>
      <charset val="204"/>
    </font>
    <font>
      <sz val="9"/>
      <color indexed="18"/>
      <name val="Arial"/>
      <family val="2"/>
      <charset val="204"/>
    </font>
    <font>
      <sz val="9"/>
      <color theme="1"/>
      <name val="Arial"/>
      <family val="2"/>
      <charset val="204"/>
    </font>
    <font>
      <b/>
      <sz val="11"/>
      <color theme="1"/>
      <name val="Arial Narrow"/>
      <family val="2"/>
      <charset val="204"/>
    </font>
    <font>
      <sz val="11"/>
      <name val="Calibri"/>
      <family val="2"/>
      <charset val="204"/>
      <scheme val="minor"/>
    </font>
    <font>
      <b/>
      <sz val="9"/>
      <color rgb="FF000080"/>
      <name val="Arial"/>
      <family val="2"/>
      <charset val="204"/>
    </font>
    <font>
      <b/>
      <sz val="9"/>
      <color rgb="FF00008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CCFF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76">
    <xf numFmtId="0" fontId="0" fillId="0" borderId="0" xfId="0"/>
    <xf numFmtId="3" fontId="11" fillId="0" borderId="27" xfId="1" applyNumberFormat="1" applyFont="1" applyFill="1" applyBorder="1" applyAlignment="1" applyProtection="1">
      <alignment vertical="top" wrapText="1"/>
    </xf>
    <xf numFmtId="164" fontId="6" fillId="0" borderId="27" xfId="1" applyNumberFormat="1" applyFont="1" applyFill="1" applyBorder="1" applyAlignment="1" applyProtection="1">
      <alignment horizontal="center" vertical="top" wrapText="1"/>
    </xf>
    <xf numFmtId="0" fontId="3" fillId="0" borderId="23" xfId="1" applyFont="1" applyFill="1" applyBorder="1" applyAlignment="1" applyProtection="1">
      <alignment horizontal="left" vertical="top" wrapText="1"/>
    </xf>
    <xf numFmtId="0" fontId="5" fillId="0" borderId="24" xfId="1" applyFont="1" applyFill="1" applyBorder="1" applyAlignment="1" applyProtection="1">
      <alignment horizontal="center" vertical="center" wrapText="1"/>
    </xf>
    <xf numFmtId="164" fontId="6" fillId="0" borderId="29" xfId="1" applyNumberFormat="1" applyFont="1" applyFill="1" applyBorder="1" applyAlignment="1" applyProtection="1">
      <alignment horizontal="center" vertical="top" wrapText="1"/>
    </xf>
    <xf numFmtId="0" fontId="4" fillId="0" borderId="29" xfId="1" applyFont="1" applyFill="1" applyBorder="1" applyAlignment="1" applyProtection="1">
      <alignment horizontal="center" vertical="top" wrapText="1"/>
    </xf>
    <xf numFmtId="3" fontId="4" fillId="3" borderId="29" xfId="1" applyNumberFormat="1" applyFont="1" applyFill="1" applyBorder="1" applyAlignment="1" applyProtection="1">
      <alignment horizontal="center" vertical="top" wrapText="1"/>
    </xf>
    <xf numFmtId="164" fontId="12" fillId="0" borderId="29" xfId="1" applyNumberFormat="1" applyFont="1" applyFill="1" applyBorder="1" applyAlignment="1" applyProtection="1">
      <alignment horizontal="center" vertical="top" wrapText="1"/>
    </xf>
    <xf numFmtId="164" fontId="6" fillId="0" borderId="23" xfId="1" applyNumberFormat="1" applyFont="1" applyFill="1" applyBorder="1" applyAlignment="1" applyProtection="1">
      <alignment horizontal="center" vertical="top" wrapText="1"/>
    </xf>
    <xf numFmtId="0" fontId="4" fillId="0" borderId="29" xfId="1" applyFont="1" applyFill="1" applyBorder="1" applyAlignment="1" applyProtection="1">
      <alignment horizontal="left" vertical="top" wrapText="1" indent="2"/>
    </xf>
    <xf numFmtId="0" fontId="4" fillId="0" borderId="29" xfId="1" applyFont="1" applyFill="1" applyBorder="1" applyAlignment="1" applyProtection="1">
      <alignment horizontal="left" vertical="top" wrapText="1" indent="3"/>
    </xf>
    <xf numFmtId="0" fontId="6" fillId="0" borderId="29" xfId="1" applyFont="1" applyFill="1" applyBorder="1" applyAlignment="1" applyProtection="1">
      <alignment horizontal="left" vertical="top" wrapText="1" indent="2"/>
    </xf>
    <xf numFmtId="3" fontId="6" fillId="0" borderId="29" xfId="1" applyNumberFormat="1" applyFont="1" applyFill="1" applyBorder="1" applyAlignment="1" applyProtection="1">
      <alignment horizontal="center" vertical="top" wrapText="1"/>
    </xf>
    <xf numFmtId="0" fontId="6" fillId="0" borderId="29" xfId="1" applyFont="1" applyFill="1" applyBorder="1" applyAlignment="1" applyProtection="1">
      <alignment horizontal="left" vertical="top" wrapText="1" indent="3"/>
    </xf>
    <xf numFmtId="0" fontId="11" fillId="0" borderId="27" xfId="1" applyFont="1" applyFill="1" applyBorder="1" applyAlignment="1" applyProtection="1">
      <alignment vertical="top" wrapText="1"/>
    </xf>
    <xf numFmtId="165" fontId="6" fillId="0" borderId="27" xfId="1" applyNumberFormat="1" applyFont="1" applyFill="1" applyBorder="1" applyAlignment="1" applyProtection="1">
      <alignment horizontal="center" vertical="top" wrapText="1"/>
    </xf>
    <xf numFmtId="0" fontId="6" fillId="0" borderId="28" xfId="1" applyFont="1" applyFill="1" applyBorder="1" applyAlignment="1" applyProtection="1">
      <alignment vertical="top" wrapText="1"/>
    </xf>
    <xf numFmtId="3" fontId="4" fillId="0" borderId="29" xfId="1" applyNumberFormat="1" applyFont="1" applyFill="1" applyBorder="1" applyAlignment="1" applyProtection="1">
      <alignment horizontal="center" vertical="top" wrapText="1"/>
    </xf>
    <xf numFmtId="164" fontId="4" fillId="0" borderId="29" xfId="1" applyNumberFormat="1" applyFont="1" applyFill="1" applyBorder="1" applyAlignment="1" applyProtection="1">
      <alignment horizontal="center" vertical="top" wrapText="1"/>
    </xf>
    <xf numFmtId="3" fontId="6" fillId="0" borderId="27" xfId="1" applyNumberFormat="1" applyFont="1" applyFill="1" applyBorder="1" applyAlignment="1" applyProtection="1">
      <alignment horizontal="center" vertical="top" wrapText="1"/>
    </xf>
    <xf numFmtId="3" fontId="6" fillId="4" borderId="29" xfId="1" applyNumberFormat="1" applyFont="1" applyFill="1" applyBorder="1" applyAlignment="1" applyProtection="1">
      <alignment horizontal="center" vertical="top" wrapText="1"/>
    </xf>
    <xf numFmtId="164" fontId="6" fillId="4" borderId="29" xfId="1" applyNumberFormat="1" applyFont="1" applyFill="1" applyBorder="1" applyAlignment="1" applyProtection="1">
      <alignment horizontal="center" vertical="top" wrapText="1"/>
    </xf>
    <xf numFmtId="165" fontId="6" fillId="4" borderId="29" xfId="1" applyNumberFormat="1" applyFont="1" applyFill="1" applyBorder="1" applyAlignment="1" applyProtection="1">
      <alignment horizontal="center" vertical="top" wrapText="1"/>
    </xf>
    <xf numFmtId="0" fontId="11" fillId="4" borderId="29" xfId="1" applyFont="1" applyFill="1" applyBorder="1" applyAlignment="1" applyProtection="1">
      <alignment vertical="top" wrapText="1"/>
    </xf>
    <xf numFmtId="0" fontId="8" fillId="0" borderId="27" xfId="1" applyFont="1" applyFill="1" applyBorder="1" applyAlignment="1" applyProtection="1">
      <alignment horizontal="left" vertical="top" wrapText="1" indent="1"/>
    </xf>
    <xf numFmtId="3" fontId="4" fillId="4" borderId="29" xfId="1" applyNumberFormat="1" applyFont="1" applyFill="1" applyBorder="1" applyAlignment="1" applyProtection="1">
      <alignment horizontal="center" vertical="top" wrapText="1"/>
    </xf>
    <xf numFmtId="0" fontId="6" fillId="4" borderId="30" xfId="1" applyFont="1" applyFill="1" applyBorder="1" applyAlignment="1" applyProtection="1">
      <alignment vertical="top" wrapText="1"/>
    </xf>
    <xf numFmtId="0" fontId="7" fillId="0" borderId="27" xfId="1" applyFont="1" applyFill="1" applyBorder="1" applyAlignment="1" applyProtection="1">
      <alignment horizontal="left" vertical="top" wrapText="1"/>
    </xf>
    <xf numFmtId="3" fontId="4" fillId="0" borderId="27" xfId="1" applyNumberFormat="1" applyFont="1" applyFill="1" applyBorder="1" applyAlignment="1" applyProtection="1">
      <alignment horizontal="center" vertical="top" wrapText="1"/>
    </xf>
    <xf numFmtId="0" fontId="6" fillId="0" borderId="23" xfId="1" applyFont="1" applyFill="1" applyBorder="1" applyAlignment="1" applyProtection="1">
      <alignment horizontal="left" vertical="top" wrapText="1" indent="2"/>
    </xf>
    <xf numFmtId="0" fontId="10" fillId="0" borderId="26" xfId="1" applyFont="1" applyFill="1" applyBorder="1" applyAlignment="1" applyProtection="1">
      <alignment vertical="top" wrapText="1"/>
    </xf>
    <xf numFmtId="165" fontId="6" fillId="0" borderId="23" xfId="1" applyNumberFormat="1" applyFont="1" applyFill="1" applyBorder="1" applyAlignment="1" applyProtection="1">
      <alignment horizontal="center" vertical="top" wrapText="1"/>
    </xf>
    <xf numFmtId="0" fontId="11" fillId="0" borderId="27" xfId="1" applyFont="1" applyFill="1" applyBorder="1" applyAlignment="1" applyProtection="1">
      <alignment vertical="top" wrapText="1"/>
    </xf>
    <xf numFmtId="165" fontId="6" fillId="0" borderId="27" xfId="1" applyNumberFormat="1" applyFont="1" applyFill="1" applyBorder="1" applyAlignment="1" applyProtection="1">
      <alignment horizontal="center" vertical="top" wrapText="1"/>
    </xf>
    <xf numFmtId="3" fontId="4" fillId="0" borderId="29" xfId="1" applyNumberFormat="1" applyFont="1" applyFill="1" applyBorder="1" applyAlignment="1" applyProtection="1">
      <alignment horizontal="center" vertical="top" wrapText="1"/>
    </xf>
    <xf numFmtId="0" fontId="11" fillId="0" borderId="29" xfId="1" applyFont="1" applyFill="1" applyBorder="1" applyAlignment="1" applyProtection="1">
      <alignment vertical="top" wrapText="1"/>
    </xf>
    <xf numFmtId="0" fontId="10" fillId="0" borderId="30" xfId="1" applyFont="1" applyFill="1" applyBorder="1" applyAlignment="1" applyProtection="1">
      <alignment vertical="top" wrapText="1"/>
    </xf>
    <xf numFmtId="3" fontId="6" fillId="0" borderId="23" xfId="1" applyNumberFormat="1" applyFont="1" applyFill="1" applyBorder="1" applyAlignment="1" applyProtection="1">
      <alignment horizontal="center" vertical="top" wrapText="1"/>
    </xf>
    <xf numFmtId="164" fontId="4" fillId="0" borderId="29" xfId="1" applyNumberFormat="1" applyFont="1" applyFill="1" applyBorder="1" applyAlignment="1" applyProtection="1">
      <alignment horizontal="center" vertical="top" wrapText="1"/>
    </xf>
    <xf numFmtId="3" fontId="6" fillId="0" borderId="27" xfId="1" applyNumberFormat="1" applyFont="1" applyFill="1" applyBorder="1" applyAlignment="1" applyProtection="1">
      <alignment horizontal="center" vertical="top" wrapText="1"/>
    </xf>
    <xf numFmtId="0" fontId="10" fillId="0" borderId="28" xfId="1" applyFont="1" applyFill="1" applyBorder="1" applyAlignment="1" applyProtection="1">
      <alignment vertical="top" wrapText="1"/>
    </xf>
    <xf numFmtId="3" fontId="11" fillId="0" borderId="23" xfId="1" applyNumberFormat="1" applyFont="1" applyFill="1" applyBorder="1" applyAlignment="1" applyProtection="1">
      <alignment vertical="top" wrapText="1"/>
    </xf>
    <xf numFmtId="0" fontId="4" fillId="0" borderId="23" xfId="1" applyFont="1" applyFill="1" applyBorder="1" applyAlignment="1" applyProtection="1">
      <alignment vertical="top" wrapText="1"/>
    </xf>
    <xf numFmtId="0" fontId="6" fillId="3" borderId="29" xfId="1" applyFont="1" applyFill="1" applyBorder="1" applyAlignment="1">
      <alignment horizontal="left" vertical="top" wrapText="1" indent="3"/>
    </xf>
    <xf numFmtId="0" fontId="6" fillId="0" borderId="29" xfId="1" applyFont="1" applyBorder="1" applyAlignment="1">
      <alignment horizontal="center" vertical="top" wrapText="1"/>
    </xf>
    <xf numFmtId="0" fontId="6" fillId="3" borderId="23" xfId="1" applyFont="1" applyFill="1" applyBorder="1" applyAlignment="1">
      <alignment horizontal="left" vertical="top" wrapText="1" indent="3"/>
    </xf>
    <xf numFmtId="0" fontId="6" fillId="0" borderId="23" xfId="1" applyFont="1" applyBorder="1" applyAlignment="1">
      <alignment horizontal="center" vertical="top" wrapText="1"/>
    </xf>
    <xf numFmtId="164" fontId="4" fillId="4" borderId="29" xfId="1" applyNumberFormat="1" applyFont="1" applyFill="1" applyBorder="1" applyAlignment="1" applyProtection="1">
      <alignment horizontal="center" vertical="top" wrapText="1"/>
    </xf>
    <xf numFmtId="3" fontId="11" fillId="4" borderId="29" xfId="1" applyNumberFormat="1" applyFont="1" applyFill="1" applyBorder="1" applyAlignment="1" applyProtection="1">
      <alignment vertical="top" wrapText="1"/>
    </xf>
    <xf numFmtId="3" fontId="10" fillId="4" borderId="30" xfId="1" applyNumberFormat="1" applyFont="1" applyFill="1" applyBorder="1" applyAlignment="1" applyProtection="1">
      <alignment vertical="top" wrapText="1"/>
    </xf>
    <xf numFmtId="3" fontId="4" fillId="0" borderId="29" xfId="1" applyNumberFormat="1" applyFont="1" applyFill="1" applyBorder="1" applyAlignment="1" applyProtection="1">
      <alignment horizontal="center" vertical="top" wrapText="1"/>
    </xf>
    <xf numFmtId="0" fontId="11" fillId="0" borderId="29" xfId="1" applyFont="1" applyFill="1" applyBorder="1" applyAlignment="1" applyProtection="1">
      <alignment vertical="top" wrapText="1"/>
    </xf>
    <xf numFmtId="0" fontId="10" fillId="0" borderId="30" xfId="1" applyFont="1" applyFill="1" applyBorder="1" applyAlignment="1" applyProtection="1">
      <alignment vertical="top" wrapText="1"/>
    </xf>
    <xf numFmtId="3" fontId="6" fillId="0" borderId="30" xfId="1" applyNumberFormat="1" applyFont="1" applyFill="1" applyBorder="1" applyAlignment="1" applyProtection="1">
      <alignment vertical="top" wrapText="1"/>
    </xf>
    <xf numFmtId="0" fontId="6" fillId="0" borderId="29" xfId="1" applyFont="1" applyBorder="1" applyAlignment="1">
      <alignment horizontal="left" vertical="top" wrapText="1" indent="1"/>
    </xf>
    <xf numFmtId="0" fontId="8" fillId="0" borderId="27" xfId="1" applyFont="1" applyFill="1" applyBorder="1" applyAlignment="1" applyProtection="1">
      <alignment horizontal="left" vertical="top" wrapText="1"/>
    </xf>
    <xf numFmtId="164" fontId="4" fillId="0" borderId="27" xfId="1" applyNumberFormat="1" applyFont="1" applyFill="1" applyBorder="1" applyAlignment="1" applyProtection="1">
      <alignment horizontal="center" vertical="top" wrapText="1"/>
    </xf>
    <xf numFmtId="0" fontId="6" fillId="3" borderId="29" xfId="1" applyFont="1" applyFill="1" applyBorder="1" applyAlignment="1" applyProtection="1">
      <alignment horizontal="left" vertical="top" wrapText="1" indent="3"/>
    </xf>
    <xf numFmtId="0" fontId="14" fillId="0" borderId="30" xfId="1" applyFont="1" applyFill="1" applyBorder="1" applyAlignment="1" applyProtection="1">
      <alignment vertical="top" wrapText="1"/>
    </xf>
    <xf numFmtId="0" fontId="6" fillId="0" borderId="29" xfId="1" applyFont="1" applyBorder="1" applyAlignment="1">
      <alignment horizontal="justify" vertical="top" wrapText="1"/>
    </xf>
    <xf numFmtId="0" fontId="6" fillId="4" borderId="29" xfId="1" applyFont="1" applyFill="1" applyBorder="1" applyAlignment="1" applyProtection="1">
      <alignment horizontal="left" vertical="top" wrapText="1" indent="3"/>
    </xf>
    <xf numFmtId="0" fontId="4" fillId="0" borderId="29" xfId="1" applyFont="1" applyBorder="1" applyAlignment="1">
      <alignment horizontal="center" vertical="top" wrapText="1"/>
    </xf>
    <xf numFmtId="0" fontId="6" fillId="0" borderId="23" xfId="1" applyFont="1" applyBorder="1" applyAlignment="1">
      <alignment horizontal="left" vertical="top" wrapText="1" indent="3"/>
    </xf>
    <xf numFmtId="0" fontId="6" fillId="0" borderId="29" xfId="1" applyFont="1" applyBorder="1" applyAlignment="1">
      <alignment horizontal="left" vertical="top" wrapText="1" indent="3"/>
    </xf>
    <xf numFmtId="164" fontId="9" fillId="0" borderId="27" xfId="1" applyNumberFormat="1" applyFont="1" applyFill="1" applyBorder="1" applyAlignment="1" applyProtection="1">
      <alignment horizontal="center" vertical="top" wrapText="1"/>
    </xf>
    <xf numFmtId="3" fontId="11" fillId="0" borderId="4" xfId="1" applyNumberFormat="1" applyFont="1" applyFill="1" applyBorder="1" applyAlignment="1" applyProtection="1">
      <alignment vertical="top" wrapText="1"/>
    </xf>
    <xf numFmtId="3" fontId="6" fillId="0" borderId="7" xfId="1" applyNumberFormat="1" applyFont="1" applyFill="1" applyBorder="1" applyAlignment="1" applyProtection="1">
      <alignment horizontal="center" vertical="top" wrapText="1"/>
    </xf>
    <xf numFmtId="0" fontId="7" fillId="0" borderId="7" xfId="1" applyFont="1" applyFill="1" applyBorder="1" applyAlignment="1" applyProtection="1">
      <alignment horizontal="left" vertical="top" wrapText="1"/>
    </xf>
    <xf numFmtId="3" fontId="10" fillId="0" borderId="13" xfId="1" applyNumberFormat="1" applyFont="1" applyFill="1" applyBorder="1" applyAlignment="1" applyProtection="1">
      <alignment vertical="top" wrapText="1"/>
    </xf>
    <xf numFmtId="3" fontId="4" fillId="0" borderId="4" xfId="1" applyNumberFormat="1" applyFont="1" applyFill="1" applyBorder="1" applyAlignment="1" applyProtection="1">
      <alignment horizontal="center" vertical="top" wrapText="1"/>
    </xf>
    <xf numFmtId="165" fontId="6" fillId="0" borderId="4" xfId="1" applyNumberFormat="1" applyFont="1" applyFill="1" applyBorder="1" applyAlignment="1" applyProtection="1">
      <alignment horizontal="center" vertical="top" wrapText="1"/>
    </xf>
    <xf numFmtId="0" fontId="11" fillId="0" borderId="4" xfId="1" applyFont="1" applyFill="1" applyBorder="1" applyAlignment="1" applyProtection="1">
      <alignment vertical="top" wrapText="1"/>
    </xf>
    <xf numFmtId="164" fontId="4" fillId="0" borderId="4" xfId="1" applyNumberFormat="1" applyFont="1" applyFill="1" applyBorder="1" applyAlignment="1" applyProtection="1">
      <alignment horizontal="center" vertical="top" wrapText="1"/>
    </xf>
    <xf numFmtId="0" fontId="10" fillId="0" borderId="26" xfId="1" applyFont="1" applyFill="1" applyBorder="1" applyAlignment="1" applyProtection="1">
      <alignment vertical="top" wrapText="1"/>
    </xf>
    <xf numFmtId="0" fontId="11" fillId="0" borderId="27" xfId="1" applyFont="1" applyFill="1" applyBorder="1" applyAlignment="1" applyProtection="1">
      <alignment vertical="top" wrapText="1"/>
    </xf>
    <xf numFmtId="0" fontId="11" fillId="0" borderId="23" xfId="1" applyFont="1" applyFill="1" applyBorder="1" applyAlignment="1" applyProtection="1">
      <alignment vertical="top" wrapText="1"/>
    </xf>
    <xf numFmtId="165" fontId="6" fillId="0" borderId="27" xfId="1" applyNumberFormat="1" applyFont="1" applyFill="1" applyBorder="1" applyAlignment="1" applyProtection="1">
      <alignment horizontal="center" vertical="top" wrapText="1"/>
    </xf>
    <xf numFmtId="0" fontId="6" fillId="0" borderId="28" xfId="1" applyFont="1" applyFill="1" applyBorder="1" applyAlignment="1" applyProtection="1">
      <alignment vertical="top" wrapText="1"/>
    </xf>
    <xf numFmtId="0" fontId="11" fillId="0" borderId="29" xfId="1" applyFont="1" applyFill="1" applyBorder="1" applyAlignment="1" applyProtection="1">
      <alignment vertical="top" wrapText="1"/>
    </xf>
    <xf numFmtId="0" fontId="10" fillId="0" borderId="30" xfId="1" applyFont="1" applyFill="1" applyBorder="1" applyAlignment="1" applyProtection="1">
      <alignment vertical="top" wrapText="1"/>
    </xf>
    <xf numFmtId="3" fontId="6" fillId="0" borderId="27" xfId="1" applyNumberFormat="1" applyFont="1" applyFill="1" applyBorder="1" applyAlignment="1" applyProtection="1">
      <alignment horizontal="center" vertical="top" wrapText="1"/>
    </xf>
    <xf numFmtId="3" fontId="6" fillId="0" borderId="29" xfId="1" applyNumberFormat="1" applyFont="1" applyFill="1" applyBorder="1" applyAlignment="1" applyProtection="1">
      <alignment horizontal="center" vertical="center" wrapText="1"/>
    </xf>
    <xf numFmtId="49" fontId="6" fillId="0" borderId="29" xfId="1" applyNumberFormat="1" applyFont="1" applyFill="1" applyBorder="1" applyAlignment="1" applyProtection="1">
      <alignment horizontal="left" vertical="top" wrapText="1" indent="2"/>
    </xf>
    <xf numFmtId="0" fontId="6" fillId="4" borderId="29" xfId="1" applyFont="1" applyFill="1" applyBorder="1" applyAlignment="1" applyProtection="1">
      <alignment horizontal="left" vertical="top" wrapText="1" indent="2"/>
    </xf>
    <xf numFmtId="0" fontId="10" fillId="0" borderId="26" xfId="1" applyFont="1" applyFill="1" applyBorder="1" applyAlignment="1" applyProtection="1">
      <alignment vertical="top" wrapText="1"/>
    </xf>
    <xf numFmtId="165" fontId="6" fillId="0" borderId="23" xfId="1" applyNumberFormat="1" applyFont="1" applyFill="1" applyBorder="1" applyAlignment="1" applyProtection="1">
      <alignment horizontal="center" vertical="top" wrapText="1"/>
    </xf>
    <xf numFmtId="0" fontId="11" fillId="0" borderId="27" xfId="1" applyFont="1" applyFill="1" applyBorder="1" applyAlignment="1" applyProtection="1">
      <alignment vertical="top" wrapText="1"/>
    </xf>
    <xf numFmtId="0" fontId="11" fillId="0" borderId="23" xfId="1" applyFont="1" applyFill="1" applyBorder="1" applyAlignment="1" applyProtection="1">
      <alignment vertical="top" wrapText="1"/>
    </xf>
    <xf numFmtId="0" fontId="6" fillId="0" borderId="28" xfId="1" applyFont="1" applyFill="1" applyBorder="1" applyAlignment="1" applyProtection="1">
      <alignment vertical="top" wrapText="1"/>
    </xf>
    <xf numFmtId="3" fontId="4" fillId="0" borderId="29" xfId="1" applyNumberFormat="1" applyFont="1" applyFill="1" applyBorder="1" applyAlignment="1" applyProtection="1">
      <alignment horizontal="center" vertical="top" wrapText="1"/>
    </xf>
    <xf numFmtId="0" fontId="11" fillId="0" borderId="29" xfId="1" applyFont="1" applyFill="1" applyBorder="1" applyAlignment="1" applyProtection="1">
      <alignment vertical="top" wrapText="1"/>
    </xf>
    <xf numFmtId="0" fontId="10" fillId="0" borderId="30" xfId="1" applyFont="1" applyFill="1" applyBorder="1" applyAlignment="1" applyProtection="1">
      <alignment vertical="top" wrapText="1"/>
    </xf>
    <xf numFmtId="3" fontId="6" fillId="0" borderId="23" xfId="1" applyNumberFormat="1" applyFont="1" applyFill="1" applyBorder="1" applyAlignment="1" applyProtection="1">
      <alignment horizontal="center" vertical="top" wrapText="1"/>
    </xf>
    <xf numFmtId="164" fontId="4" fillId="0" borderId="29" xfId="1" applyNumberFormat="1" applyFont="1" applyFill="1" applyBorder="1" applyAlignment="1" applyProtection="1">
      <alignment horizontal="center" vertical="top" wrapText="1"/>
    </xf>
    <xf numFmtId="3" fontId="6" fillId="0" borderId="27" xfId="1" applyNumberFormat="1" applyFont="1" applyFill="1" applyBorder="1" applyAlignment="1" applyProtection="1">
      <alignment horizontal="center" vertical="top" wrapText="1"/>
    </xf>
    <xf numFmtId="0" fontId="6" fillId="0" borderId="30" xfId="1" applyFont="1" applyFill="1" applyBorder="1" applyAlignment="1" applyProtection="1">
      <alignment vertical="top" wrapText="1"/>
    </xf>
    <xf numFmtId="0" fontId="10" fillId="0" borderId="28" xfId="1" applyFont="1" applyFill="1" applyBorder="1" applyAlignment="1" applyProtection="1">
      <alignment vertical="top" wrapText="1"/>
    </xf>
    <xf numFmtId="3" fontId="11" fillId="0" borderId="29" xfId="1" applyNumberFormat="1" applyFont="1" applyFill="1" applyBorder="1" applyAlignment="1" applyProtection="1">
      <alignment vertical="top" wrapText="1"/>
    </xf>
    <xf numFmtId="3" fontId="10" fillId="0" borderId="30" xfId="1" applyNumberFormat="1" applyFont="1" applyFill="1" applyBorder="1" applyAlignment="1" applyProtection="1">
      <alignment vertical="top" wrapText="1"/>
    </xf>
    <xf numFmtId="0" fontId="11" fillId="0" borderId="29" xfId="1" applyFont="1" applyFill="1" applyBorder="1" applyAlignment="1" applyProtection="1">
      <alignment horizontal="left" vertical="top" wrapText="1"/>
    </xf>
    <xf numFmtId="165" fontId="6" fillId="0" borderId="23" xfId="2" applyNumberFormat="1" applyFont="1" applyFill="1" applyBorder="1" applyAlignment="1" applyProtection="1">
      <alignment horizontal="center" vertical="center" wrapText="1"/>
    </xf>
    <xf numFmtId="0" fontId="10" fillId="0" borderId="26" xfId="1" applyFont="1" applyFill="1" applyBorder="1" applyAlignment="1" applyProtection="1">
      <alignment vertical="top" wrapText="1"/>
    </xf>
    <xf numFmtId="0" fontId="11" fillId="0" borderId="27" xfId="1" applyFont="1" applyFill="1" applyBorder="1" applyAlignment="1" applyProtection="1">
      <alignment vertical="top" wrapText="1"/>
    </xf>
    <xf numFmtId="0" fontId="11" fillId="0" borderId="23" xfId="1" applyFont="1" applyFill="1" applyBorder="1" applyAlignment="1" applyProtection="1">
      <alignment vertical="top" wrapText="1"/>
    </xf>
    <xf numFmtId="3" fontId="4" fillId="0" borderId="29" xfId="1" applyNumberFormat="1" applyFont="1" applyFill="1" applyBorder="1" applyAlignment="1" applyProtection="1">
      <alignment horizontal="center" vertical="top" wrapText="1"/>
    </xf>
    <xf numFmtId="3" fontId="6" fillId="0" borderId="23" xfId="1" applyNumberFormat="1" applyFont="1" applyFill="1" applyBorder="1" applyAlignment="1" applyProtection="1">
      <alignment horizontal="center" vertical="top" wrapText="1"/>
    </xf>
    <xf numFmtId="164" fontId="4" fillId="0" borderId="29" xfId="1" applyNumberFormat="1" applyFont="1" applyFill="1" applyBorder="1" applyAlignment="1" applyProtection="1">
      <alignment horizontal="center" vertical="top" wrapText="1"/>
    </xf>
    <xf numFmtId="3" fontId="6" fillId="0" borderId="27" xfId="1" applyNumberFormat="1" applyFont="1" applyFill="1" applyBorder="1" applyAlignment="1" applyProtection="1">
      <alignment horizontal="center" vertical="top" wrapText="1"/>
    </xf>
    <xf numFmtId="0" fontId="10" fillId="0" borderId="28" xfId="1" applyFont="1" applyFill="1" applyBorder="1" applyAlignment="1" applyProtection="1">
      <alignment vertical="top" wrapText="1"/>
    </xf>
    <xf numFmtId="3" fontId="11" fillId="0" borderId="29" xfId="1" applyNumberFormat="1" applyFont="1" applyFill="1" applyBorder="1" applyAlignment="1" applyProtection="1">
      <alignment vertical="top" wrapText="1"/>
    </xf>
    <xf numFmtId="3" fontId="10" fillId="0" borderId="30" xfId="1" applyNumberFormat="1" applyFont="1" applyFill="1" applyBorder="1" applyAlignment="1" applyProtection="1">
      <alignment vertical="top" wrapText="1"/>
    </xf>
    <xf numFmtId="2" fontId="12" fillId="0" borderId="29" xfId="1" applyNumberFormat="1" applyFont="1" applyBorder="1" applyAlignment="1">
      <alignment horizontal="center" vertical="top" wrapText="1"/>
    </xf>
    <xf numFmtId="0" fontId="6" fillId="0" borderId="25" xfId="1" applyFont="1" applyFill="1" applyBorder="1" applyAlignment="1" applyProtection="1">
      <alignment horizontal="center" vertical="center" wrapText="1"/>
    </xf>
    <xf numFmtId="166" fontId="6" fillId="0" borderId="23" xfId="1" applyNumberFormat="1" applyFont="1" applyFill="1" applyBorder="1" applyAlignment="1" applyProtection="1">
      <alignment horizontal="center" vertical="top" wrapText="1"/>
    </xf>
    <xf numFmtId="0" fontId="6" fillId="0" borderId="23" xfId="1" applyFont="1" applyFill="1" applyBorder="1" applyAlignment="1" applyProtection="1">
      <alignment vertical="top" wrapText="1"/>
    </xf>
    <xf numFmtId="0" fontId="6" fillId="3" borderId="23" xfId="1" applyFont="1" applyFill="1" applyBorder="1" applyAlignment="1" applyProtection="1">
      <alignment horizontal="left" vertical="top" wrapText="1" indent="3"/>
    </xf>
    <xf numFmtId="165" fontId="14" fillId="0" borderId="29" xfId="1" applyNumberFormat="1" applyFont="1" applyFill="1" applyBorder="1" applyAlignment="1" applyProtection="1">
      <alignment horizontal="center" vertical="top" wrapText="1"/>
    </xf>
    <xf numFmtId="164" fontId="4" fillId="0" borderId="23" xfId="1" applyNumberFormat="1" applyFont="1" applyFill="1" applyBorder="1" applyAlignment="1" applyProtection="1">
      <alignment horizontal="center" vertical="top" wrapText="1"/>
    </xf>
    <xf numFmtId="0" fontId="11" fillId="0" borderId="27" xfId="1" applyFont="1" applyFill="1" applyBorder="1" applyAlignment="1" applyProtection="1">
      <alignment vertical="top" wrapText="1"/>
    </xf>
    <xf numFmtId="0" fontId="11" fillId="0" borderId="23" xfId="1" applyFont="1" applyFill="1" applyBorder="1" applyAlignment="1" applyProtection="1">
      <alignment vertical="top" wrapText="1"/>
    </xf>
    <xf numFmtId="0" fontId="6" fillId="0" borderId="28" xfId="1" applyFont="1" applyFill="1" applyBorder="1" applyAlignment="1" applyProtection="1">
      <alignment vertical="top" wrapText="1"/>
    </xf>
    <xf numFmtId="3" fontId="4" fillId="0" borderId="29" xfId="1" applyNumberFormat="1" applyFont="1" applyFill="1" applyBorder="1" applyAlignment="1" applyProtection="1">
      <alignment horizontal="center" vertical="top" wrapText="1"/>
    </xf>
    <xf numFmtId="0" fontId="11" fillId="0" borderId="29" xfId="1" applyFont="1" applyFill="1" applyBorder="1" applyAlignment="1" applyProtection="1">
      <alignment vertical="top" wrapText="1"/>
    </xf>
    <xf numFmtId="0" fontId="10" fillId="0" borderId="30" xfId="1" applyFont="1" applyFill="1" applyBorder="1" applyAlignment="1" applyProtection="1">
      <alignment vertical="top" wrapText="1"/>
    </xf>
    <xf numFmtId="3" fontId="6" fillId="0" borderId="23" xfId="1" applyNumberFormat="1" applyFont="1" applyFill="1" applyBorder="1" applyAlignment="1" applyProtection="1">
      <alignment horizontal="center" vertical="top" wrapText="1"/>
    </xf>
    <xf numFmtId="0" fontId="6" fillId="0" borderId="26" xfId="1" applyFont="1" applyFill="1" applyBorder="1" applyAlignment="1" applyProtection="1">
      <alignment vertical="top" wrapText="1"/>
    </xf>
    <xf numFmtId="0" fontId="6" fillId="2" borderId="29" xfId="1" applyFont="1" applyFill="1" applyBorder="1" applyAlignment="1" applyProtection="1">
      <alignment horizontal="left" vertical="top" wrapText="1" indent="3"/>
    </xf>
    <xf numFmtId="164" fontId="4" fillId="0" borderId="29" xfId="1" applyNumberFormat="1" applyFont="1" applyFill="1" applyBorder="1" applyAlignment="1" applyProtection="1">
      <alignment horizontal="center" vertical="top" wrapText="1"/>
    </xf>
    <xf numFmtId="3" fontId="6" fillId="0" borderId="27" xfId="1" applyNumberFormat="1" applyFont="1" applyFill="1" applyBorder="1" applyAlignment="1" applyProtection="1">
      <alignment horizontal="center" vertical="top" wrapText="1"/>
    </xf>
    <xf numFmtId="0" fontId="6" fillId="0" borderId="30" xfId="1" applyFont="1" applyFill="1" applyBorder="1" applyAlignment="1" applyProtection="1">
      <alignment vertical="top" wrapText="1"/>
    </xf>
    <xf numFmtId="0" fontId="10" fillId="0" borderId="28" xfId="1" applyFont="1" applyFill="1" applyBorder="1" applyAlignment="1" applyProtection="1">
      <alignment vertical="top" wrapText="1"/>
    </xf>
    <xf numFmtId="167" fontId="11" fillId="0" borderId="29" xfId="3" applyNumberFormat="1" applyFont="1" applyFill="1" applyBorder="1" applyAlignment="1" applyProtection="1">
      <alignment vertical="top" wrapText="1"/>
    </xf>
    <xf numFmtId="167" fontId="10" fillId="0" borderId="30" xfId="3" applyNumberFormat="1" applyFont="1" applyFill="1" applyBorder="1" applyAlignment="1" applyProtection="1">
      <alignment vertical="top" wrapText="1"/>
    </xf>
    <xf numFmtId="165" fontId="6" fillId="0" borderId="29" xfId="1" applyNumberFormat="1" applyFont="1" applyFill="1" applyBorder="1" applyAlignment="1" applyProtection="1">
      <alignment horizontal="center" vertical="top" wrapText="1"/>
    </xf>
    <xf numFmtId="3" fontId="4" fillId="0" borderId="29" xfId="1" applyNumberFormat="1" applyFont="1" applyFill="1" applyBorder="1" applyAlignment="1" applyProtection="1">
      <alignment horizontal="center" vertical="top" wrapText="1"/>
    </xf>
    <xf numFmtId="0" fontId="11" fillId="0" borderId="29" xfId="1" applyFont="1" applyFill="1" applyBorder="1" applyAlignment="1" applyProtection="1">
      <alignment vertical="top" wrapText="1"/>
    </xf>
    <xf numFmtId="0" fontId="10" fillId="0" borderId="30" xfId="1" applyFont="1" applyFill="1" applyBorder="1" applyAlignment="1" applyProtection="1">
      <alignment vertical="top" wrapText="1"/>
    </xf>
    <xf numFmtId="164" fontId="4" fillId="0" borderId="29" xfId="1" applyNumberFormat="1" applyFont="1" applyFill="1" applyBorder="1" applyAlignment="1" applyProtection="1">
      <alignment horizontal="center" vertical="top" wrapText="1"/>
    </xf>
    <xf numFmtId="3" fontId="11" fillId="0" borderId="29" xfId="1" applyNumberFormat="1" applyFont="1" applyFill="1" applyBorder="1" applyAlignment="1" applyProtection="1">
      <alignment vertical="top" wrapText="1"/>
    </xf>
    <xf numFmtId="0" fontId="11" fillId="0" borderId="27" xfId="1" applyFont="1" applyFill="1" applyBorder="1" applyAlignment="1" applyProtection="1">
      <alignment vertical="top" wrapText="1"/>
    </xf>
    <xf numFmtId="0" fontId="6" fillId="0" borderId="28" xfId="1" applyFont="1" applyFill="1" applyBorder="1" applyAlignment="1" applyProtection="1">
      <alignment vertical="top" wrapText="1"/>
    </xf>
    <xf numFmtId="3" fontId="4" fillId="0" borderId="29" xfId="1" applyNumberFormat="1" applyFont="1" applyFill="1" applyBorder="1" applyAlignment="1" applyProtection="1">
      <alignment horizontal="center" vertical="top" wrapText="1"/>
    </xf>
    <xf numFmtId="0" fontId="11" fillId="0" borderId="29" xfId="1" applyFont="1" applyFill="1" applyBorder="1" applyAlignment="1" applyProtection="1">
      <alignment vertical="top" wrapText="1"/>
    </xf>
    <xf numFmtId="0" fontId="10" fillId="0" borderId="30" xfId="1" applyFont="1" applyFill="1" applyBorder="1" applyAlignment="1" applyProtection="1">
      <alignment vertical="top" wrapText="1"/>
    </xf>
    <xf numFmtId="164" fontId="4" fillId="0" borderId="29" xfId="1" applyNumberFormat="1" applyFont="1" applyFill="1" applyBorder="1" applyAlignment="1" applyProtection="1">
      <alignment horizontal="center" vertical="top" wrapText="1"/>
    </xf>
    <xf numFmtId="3" fontId="6" fillId="0" borderId="27" xfId="1" applyNumberFormat="1" applyFont="1" applyFill="1" applyBorder="1" applyAlignment="1" applyProtection="1">
      <alignment horizontal="center" vertical="top" wrapText="1"/>
    </xf>
    <xf numFmtId="0" fontId="4" fillId="0" borderId="29" xfId="1" applyFont="1" applyFill="1" applyBorder="1" applyAlignment="1" applyProtection="1">
      <alignment horizontal="left" vertical="top" wrapText="1" indent="1"/>
    </xf>
    <xf numFmtId="3" fontId="6" fillId="0" borderId="1" xfId="1" applyNumberFormat="1" applyFont="1" applyFill="1" applyBorder="1" applyAlignment="1" applyProtection="1">
      <alignment horizontal="center" vertical="top" wrapText="1"/>
    </xf>
    <xf numFmtId="0" fontId="11" fillId="0" borderId="1" xfId="1" applyFont="1" applyFill="1" applyBorder="1" applyAlignment="1" applyProtection="1">
      <alignment vertical="top" wrapText="1"/>
    </xf>
    <xf numFmtId="0" fontId="10" fillId="0" borderId="14" xfId="1" applyFont="1" applyFill="1" applyBorder="1" applyAlignment="1" applyProtection="1">
      <alignment vertical="top" wrapText="1"/>
    </xf>
    <xf numFmtId="3" fontId="15" fillId="0" borderId="29" xfId="1" applyNumberFormat="1" applyFont="1" applyFill="1" applyBorder="1" applyAlignment="1" applyProtection="1">
      <alignment horizontal="center" vertical="top" wrapText="1"/>
    </xf>
    <xf numFmtId="0" fontId="11" fillId="0" borderId="27" xfId="1" applyFont="1" applyFill="1" applyBorder="1" applyAlignment="1" applyProtection="1">
      <alignment vertical="top" wrapText="1"/>
    </xf>
    <xf numFmtId="0" fontId="6" fillId="0" borderId="28" xfId="1" applyFont="1" applyFill="1" applyBorder="1" applyAlignment="1" applyProtection="1">
      <alignment vertical="top" wrapText="1"/>
    </xf>
    <xf numFmtId="3" fontId="4" fillId="0" borderId="29" xfId="1" applyNumberFormat="1" applyFont="1" applyFill="1" applyBorder="1" applyAlignment="1" applyProtection="1">
      <alignment horizontal="center" vertical="top" wrapText="1"/>
    </xf>
    <xf numFmtId="0" fontId="11" fillId="0" borderId="29" xfId="1" applyFont="1" applyFill="1" applyBorder="1" applyAlignment="1" applyProtection="1">
      <alignment vertical="top" wrapText="1"/>
    </xf>
    <xf numFmtId="0" fontId="10" fillId="0" borderId="30" xfId="1" applyFont="1" applyFill="1" applyBorder="1" applyAlignment="1" applyProtection="1">
      <alignment vertical="top" wrapText="1"/>
    </xf>
    <xf numFmtId="164" fontId="4" fillId="0" borderId="29" xfId="1" applyNumberFormat="1" applyFont="1" applyFill="1" applyBorder="1" applyAlignment="1" applyProtection="1">
      <alignment horizontal="center" vertical="top" wrapText="1"/>
    </xf>
    <xf numFmtId="3" fontId="6" fillId="0" borderId="27" xfId="1" applyNumberFormat="1" applyFont="1" applyFill="1" applyBorder="1" applyAlignment="1" applyProtection="1">
      <alignment horizontal="center" vertical="top" wrapText="1"/>
    </xf>
    <xf numFmtId="166" fontId="4" fillId="0" borderId="29" xfId="1" applyNumberFormat="1" applyFont="1" applyFill="1" applyBorder="1" applyAlignment="1" applyProtection="1">
      <alignment horizontal="center" vertical="top" wrapText="1"/>
    </xf>
    <xf numFmtId="0" fontId="8" fillId="0" borderId="27" xfId="1" applyFont="1" applyFill="1" applyBorder="1" applyAlignment="1" applyProtection="1">
      <alignment horizontal="left" vertical="top" wrapText="1" indent="2"/>
    </xf>
    <xf numFmtId="3" fontId="4" fillId="0" borderId="23" xfId="1" applyNumberFormat="1" applyFont="1" applyFill="1" applyBorder="1" applyAlignment="1" applyProtection="1">
      <alignment horizontal="center" vertical="top" wrapText="1"/>
    </xf>
    <xf numFmtId="164" fontId="4" fillId="0" borderId="23" xfId="1" applyNumberFormat="1" applyFont="1" applyFill="1" applyBorder="1" applyAlignment="1" applyProtection="1">
      <alignment horizontal="center" vertical="top" wrapText="1"/>
    </xf>
    <xf numFmtId="3" fontId="4" fillId="0" borderId="29" xfId="1" applyNumberFormat="1" applyFont="1" applyFill="1" applyBorder="1" applyAlignment="1" applyProtection="1">
      <alignment horizontal="center" vertical="top" wrapText="1"/>
    </xf>
    <xf numFmtId="0" fontId="11" fillId="0" borderId="29" xfId="1" applyFont="1" applyFill="1" applyBorder="1" applyAlignment="1" applyProtection="1">
      <alignment vertical="top" wrapText="1"/>
    </xf>
    <xf numFmtId="164" fontId="4" fillId="0" borderId="29" xfId="1" applyNumberFormat="1" applyFont="1" applyFill="1" applyBorder="1" applyAlignment="1" applyProtection="1">
      <alignment horizontal="center" vertical="top" wrapText="1"/>
    </xf>
    <xf numFmtId="0" fontId="6" fillId="0" borderId="30" xfId="1" applyFont="1" applyFill="1" applyBorder="1" applyAlignment="1" applyProtection="1">
      <alignment vertical="top" wrapText="1"/>
    </xf>
    <xf numFmtId="10" fontId="6" fillId="0" borderId="27" xfId="1" applyNumberFormat="1" applyFont="1" applyFill="1" applyBorder="1" applyAlignment="1" applyProtection="1">
      <alignment horizontal="center" vertical="top" wrapText="1"/>
    </xf>
    <xf numFmtId="10" fontId="10" fillId="0" borderId="27" xfId="1" applyNumberFormat="1" applyFont="1" applyFill="1" applyBorder="1" applyAlignment="1" applyProtection="1">
      <alignment horizontal="center" vertical="top" wrapText="1"/>
    </xf>
    <xf numFmtId="0" fontId="4" fillId="0" borderId="23" xfId="1" applyFont="1" applyFill="1" applyBorder="1" applyAlignment="1" applyProtection="1">
      <alignment horizontal="left" vertical="top" wrapText="1" indent="3"/>
    </xf>
    <xf numFmtId="0" fontId="6" fillId="3" borderId="29" xfId="1" applyFont="1" applyFill="1" applyBorder="1" applyAlignment="1" applyProtection="1">
      <alignment vertical="top" wrapText="1"/>
    </xf>
    <xf numFmtId="0" fontId="6" fillId="0" borderId="1" xfId="1" applyFont="1" applyFill="1" applyBorder="1" applyAlignment="1" applyProtection="1">
      <alignment horizontal="left" vertical="top" wrapText="1" indent="3"/>
    </xf>
    <xf numFmtId="164" fontId="12" fillId="0" borderId="1" xfId="1" applyNumberFormat="1" applyFont="1" applyFill="1" applyBorder="1" applyAlignment="1" applyProtection="1">
      <alignment horizontal="center" vertical="top" wrapText="1"/>
    </xf>
    <xf numFmtId="3" fontId="6" fillId="0" borderId="1" xfId="1" applyNumberFormat="1" applyFont="1" applyFill="1" applyBorder="1" applyAlignment="1" applyProtection="1">
      <alignment horizontal="center" vertical="top" wrapText="1"/>
    </xf>
    <xf numFmtId="0" fontId="11" fillId="0" borderId="1" xfId="1" applyFont="1" applyFill="1" applyBorder="1" applyAlignment="1" applyProtection="1">
      <alignment vertical="top" wrapText="1"/>
    </xf>
    <xf numFmtId="0" fontId="10" fillId="0" borderId="14" xfId="1" applyFont="1" applyFill="1" applyBorder="1" applyAlignment="1" applyProtection="1">
      <alignment vertical="top" wrapText="1"/>
    </xf>
    <xf numFmtId="0" fontId="10" fillId="0" borderId="26" xfId="1" applyFont="1" applyFill="1" applyBorder="1" applyAlignment="1" applyProtection="1">
      <alignment vertical="top" wrapText="1"/>
    </xf>
    <xf numFmtId="0" fontId="6" fillId="0" borderId="23" xfId="1" applyFont="1" applyFill="1" applyBorder="1" applyAlignment="1" applyProtection="1">
      <alignment horizontal="left" vertical="top" wrapText="1" indent="3"/>
    </xf>
    <xf numFmtId="0" fontId="11" fillId="0" borderId="27" xfId="1" applyFont="1" applyFill="1" applyBorder="1" applyAlignment="1" applyProtection="1">
      <alignment vertical="top" wrapText="1"/>
    </xf>
    <xf numFmtId="0" fontId="11" fillId="0" borderId="23" xfId="1" applyFont="1" applyFill="1" applyBorder="1" applyAlignment="1" applyProtection="1">
      <alignment vertical="top" wrapText="1"/>
    </xf>
    <xf numFmtId="0" fontId="6" fillId="0" borderId="28" xfId="1" applyFont="1" applyFill="1" applyBorder="1" applyAlignment="1" applyProtection="1">
      <alignment vertical="top" wrapText="1"/>
    </xf>
    <xf numFmtId="3" fontId="4" fillId="0" borderId="29" xfId="1" applyNumberFormat="1" applyFont="1" applyFill="1" applyBorder="1" applyAlignment="1" applyProtection="1">
      <alignment horizontal="center" vertical="top" wrapText="1"/>
    </xf>
    <xf numFmtId="0" fontId="11" fillId="0" borderId="29" xfId="1" applyFont="1" applyFill="1" applyBorder="1" applyAlignment="1" applyProtection="1">
      <alignment vertical="top" wrapText="1"/>
    </xf>
    <xf numFmtId="0" fontId="10" fillId="0" borderId="30" xfId="1" applyFont="1" applyFill="1" applyBorder="1" applyAlignment="1" applyProtection="1">
      <alignment vertical="top" wrapText="1"/>
    </xf>
    <xf numFmtId="3" fontId="6" fillId="0" borderId="23" xfId="1" applyNumberFormat="1" applyFont="1" applyFill="1" applyBorder="1" applyAlignment="1" applyProtection="1">
      <alignment horizontal="center" vertical="top" wrapText="1"/>
    </xf>
    <xf numFmtId="164" fontId="4" fillId="0" borderId="29" xfId="1" applyNumberFormat="1" applyFont="1" applyFill="1" applyBorder="1" applyAlignment="1" applyProtection="1">
      <alignment horizontal="center" vertical="top" wrapText="1"/>
    </xf>
    <xf numFmtId="3" fontId="6" fillId="0" borderId="27" xfId="1" applyNumberFormat="1" applyFont="1" applyFill="1" applyBorder="1" applyAlignment="1" applyProtection="1">
      <alignment horizontal="center" vertical="top" wrapText="1"/>
    </xf>
    <xf numFmtId="0" fontId="6" fillId="0" borderId="30" xfId="1" applyFont="1" applyFill="1" applyBorder="1" applyAlignment="1" applyProtection="1">
      <alignment vertical="top" wrapText="1"/>
    </xf>
    <xf numFmtId="0" fontId="10" fillId="0" borderId="28" xfId="1" applyFont="1" applyFill="1" applyBorder="1" applyAlignment="1" applyProtection="1">
      <alignment vertical="top" wrapText="1"/>
    </xf>
    <xf numFmtId="3" fontId="15" fillId="0" borderId="23" xfId="1" applyNumberFormat="1" applyFont="1" applyFill="1" applyBorder="1" applyAlignment="1" applyProtection="1">
      <alignment horizontal="center" vertical="top" wrapText="1"/>
    </xf>
    <xf numFmtId="168" fontId="4" fillId="0" borderId="29" xfId="1" applyNumberFormat="1" applyFont="1" applyFill="1" applyBorder="1" applyAlignment="1" applyProtection="1">
      <alignment horizontal="center" vertical="top" wrapText="1"/>
    </xf>
    <xf numFmtId="0" fontId="18" fillId="0" borderId="29" xfId="1" applyFont="1" applyFill="1" applyBorder="1" applyAlignment="1" applyProtection="1">
      <alignment horizontal="left" vertical="top" wrapText="1" indent="2"/>
    </xf>
    <xf numFmtId="3" fontId="18" fillId="0" borderId="29" xfId="1" applyNumberFormat="1" applyFont="1" applyFill="1" applyBorder="1" applyAlignment="1" applyProtection="1">
      <alignment horizontal="center" vertical="top" wrapText="1"/>
    </xf>
    <xf numFmtId="0" fontId="18" fillId="0" borderId="29" xfId="1" applyFont="1" applyFill="1" applyBorder="1" applyAlignment="1" applyProtection="1">
      <alignment horizontal="center" vertical="top" wrapText="1"/>
    </xf>
    <xf numFmtId="164" fontId="18" fillId="0" borderId="29" xfId="1" applyNumberFormat="1" applyFont="1" applyFill="1" applyBorder="1" applyAlignment="1" applyProtection="1">
      <alignment horizontal="center" vertical="top" wrapText="1"/>
    </xf>
    <xf numFmtId="0" fontId="19" fillId="0" borderId="29" xfId="1" applyFont="1" applyFill="1" applyBorder="1" applyAlignment="1" applyProtection="1">
      <alignment vertical="top" wrapText="1"/>
    </xf>
    <xf numFmtId="0" fontId="17" fillId="2" borderId="29" xfId="1" applyFont="1" applyFill="1" applyBorder="1" applyAlignment="1" applyProtection="1">
      <alignment horizontal="left" vertical="top" wrapText="1" indent="3"/>
    </xf>
    <xf numFmtId="3" fontId="17" fillId="4" borderId="29" xfId="1" applyNumberFormat="1" applyFont="1" applyFill="1" applyBorder="1" applyAlignment="1" applyProtection="1">
      <alignment horizontal="center" vertical="top" wrapText="1"/>
    </xf>
    <xf numFmtId="164" fontId="17" fillId="4" borderId="29" xfId="1" applyNumberFormat="1" applyFont="1" applyFill="1" applyBorder="1" applyAlignment="1" applyProtection="1">
      <alignment horizontal="center" vertical="top" wrapText="1"/>
    </xf>
    <xf numFmtId="165" fontId="17" fillId="4" borderId="29" xfId="1" applyNumberFormat="1" applyFont="1" applyFill="1" applyBorder="1" applyAlignment="1" applyProtection="1">
      <alignment horizontal="center" vertical="top" wrapText="1"/>
    </xf>
    <xf numFmtId="0" fontId="19" fillId="4" borderId="29" xfId="1" applyFont="1" applyFill="1" applyBorder="1" applyAlignment="1" applyProtection="1">
      <alignment vertical="top" wrapText="1"/>
    </xf>
    <xf numFmtId="165" fontId="21" fillId="0" borderId="29" xfId="1" applyNumberFormat="1" applyFont="1" applyFill="1" applyBorder="1" applyAlignment="1" applyProtection="1">
      <alignment horizontal="center" vertical="top" wrapText="1"/>
    </xf>
    <xf numFmtId="165" fontId="22" fillId="0" borderId="29" xfId="1" applyNumberFormat="1" applyFont="1" applyFill="1" applyBorder="1" applyAlignment="1" applyProtection="1">
      <alignment horizontal="center" vertical="top" wrapText="1"/>
    </xf>
    <xf numFmtId="164" fontId="21" fillId="0" borderId="29" xfId="1" applyNumberFormat="1" applyFont="1" applyFill="1" applyBorder="1" applyAlignment="1" applyProtection="1">
      <alignment horizontal="center" vertical="top" wrapText="1"/>
    </xf>
    <xf numFmtId="0" fontId="21" fillId="0" borderId="29" xfId="1" applyFont="1" applyFill="1" applyBorder="1" applyAlignment="1" applyProtection="1">
      <alignment vertical="top" wrapText="1"/>
    </xf>
    <xf numFmtId="0" fontId="21" fillId="0" borderId="30" xfId="1" applyFont="1" applyFill="1" applyBorder="1" applyAlignment="1" applyProtection="1">
      <alignment vertical="top" wrapText="1"/>
    </xf>
    <xf numFmtId="164" fontId="22" fillId="0" borderId="29" xfId="1" applyNumberFormat="1" applyFont="1" applyFill="1" applyBorder="1" applyAlignment="1" applyProtection="1">
      <alignment horizontal="center" vertical="top" wrapText="1"/>
    </xf>
    <xf numFmtId="0" fontId="22" fillId="0" borderId="29" xfId="1" applyFont="1" applyFill="1" applyBorder="1" applyAlignment="1" applyProtection="1">
      <alignment vertical="top" wrapText="1"/>
    </xf>
    <xf numFmtId="0" fontId="22" fillId="0" borderId="30" xfId="1" applyFont="1" applyFill="1" applyBorder="1" applyAlignment="1" applyProtection="1">
      <alignment vertical="top" wrapText="1"/>
    </xf>
    <xf numFmtId="0" fontId="11" fillId="0" borderId="29" xfId="1" applyFont="1" applyFill="1" applyBorder="1" applyAlignment="1" applyProtection="1">
      <alignment vertical="center" wrapText="1"/>
    </xf>
    <xf numFmtId="0" fontId="6" fillId="0" borderId="30" xfId="1" applyFont="1" applyFill="1" applyBorder="1" applyAlignment="1" applyProtection="1">
      <alignment vertical="center" wrapText="1"/>
    </xf>
    <xf numFmtId="0" fontId="22" fillId="0" borderId="29" xfId="1" applyFont="1" applyFill="1" applyBorder="1" applyAlignment="1" applyProtection="1">
      <alignment horizontal="left" vertical="top" wrapText="1" indent="2"/>
    </xf>
    <xf numFmtId="3" fontId="22" fillId="0" borderId="29" xfId="1" applyNumberFormat="1" applyFont="1" applyFill="1" applyBorder="1" applyAlignment="1" applyProtection="1">
      <alignment horizontal="center" vertical="top" wrapText="1"/>
    </xf>
    <xf numFmtId="0" fontId="21" fillId="0" borderId="29" xfId="1" applyFont="1" applyFill="1" applyBorder="1" applyAlignment="1" applyProtection="1">
      <alignment horizontal="left" vertical="top" wrapText="1" indent="2"/>
    </xf>
    <xf numFmtId="3" fontId="21" fillId="0" borderId="29" xfId="1" applyNumberFormat="1" applyFont="1" applyFill="1" applyBorder="1" applyAlignment="1" applyProtection="1">
      <alignment horizontal="center" vertical="top" wrapText="1"/>
    </xf>
    <xf numFmtId="3" fontId="21" fillId="0" borderId="29" xfId="1" applyNumberFormat="1" applyFont="1" applyFill="1" applyBorder="1" applyAlignment="1" applyProtection="1">
      <alignment vertical="top" wrapText="1"/>
    </xf>
    <xf numFmtId="3" fontId="18" fillId="4" borderId="29" xfId="1" applyNumberFormat="1" applyFont="1" applyFill="1" applyBorder="1" applyAlignment="1" applyProtection="1">
      <alignment horizontal="center" vertical="top" wrapText="1"/>
    </xf>
    <xf numFmtId="164" fontId="18" fillId="4" borderId="29" xfId="1" applyNumberFormat="1" applyFont="1" applyFill="1" applyBorder="1" applyAlignment="1" applyProtection="1">
      <alignment horizontal="center" vertical="top" wrapText="1"/>
    </xf>
    <xf numFmtId="3" fontId="19" fillId="4" borderId="29" xfId="1" applyNumberFormat="1" applyFont="1" applyFill="1" applyBorder="1" applyAlignment="1" applyProtection="1">
      <alignment vertical="top" wrapText="1"/>
    </xf>
    <xf numFmtId="164" fontId="6" fillId="0" borderId="29" xfId="1" applyNumberFormat="1" applyFont="1" applyFill="1" applyBorder="1" applyAlignment="1" applyProtection="1">
      <alignment horizontal="center" vertical="center" wrapText="1"/>
    </xf>
    <xf numFmtId="165" fontId="6" fillId="0" borderId="29" xfId="1" applyNumberFormat="1" applyFont="1" applyFill="1" applyBorder="1" applyAlignment="1" applyProtection="1">
      <alignment horizontal="center" vertical="center" wrapText="1"/>
    </xf>
    <xf numFmtId="3" fontId="6" fillId="0" borderId="23" xfId="1" applyNumberFormat="1" applyFont="1" applyFill="1" applyBorder="1" applyAlignment="1" applyProtection="1">
      <alignment horizontal="center" vertical="center" wrapText="1"/>
    </xf>
    <xf numFmtId="3" fontId="19" fillId="0" borderId="29" xfId="1" applyNumberFormat="1" applyFont="1" applyFill="1" applyBorder="1" applyAlignment="1" applyProtection="1">
      <alignment vertical="top" wrapText="1"/>
    </xf>
    <xf numFmtId="0" fontId="23" fillId="0" borderId="29" xfId="1" applyFont="1" applyFill="1" applyBorder="1" applyAlignment="1" applyProtection="1">
      <alignment horizontal="left" vertical="top" wrapText="1" indent="1"/>
    </xf>
    <xf numFmtId="0" fontId="24" fillId="0" borderId="29" xfId="1" applyFont="1" applyFill="1" applyBorder="1" applyAlignment="1" applyProtection="1">
      <alignment horizontal="left" vertical="top" wrapText="1" indent="1"/>
    </xf>
    <xf numFmtId="164" fontId="12" fillId="0" borderId="29" xfId="1" applyNumberFormat="1" applyFont="1" applyFill="1" applyBorder="1" applyAlignment="1" applyProtection="1">
      <alignment horizontal="center" vertical="center" wrapText="1"/>
    </xf>
    <xf numFmtId="3" fontId="12" fillId="0" borderId="29" xfId="1" applyNumberFormat="1" applyFont="1" applyFill="1" applyBorder="1" applyAlignment="1" applyProtection="1">
      <alignment horizontal="center" vertical="center" wrapText="1"/>
    </xf>
    <xf numFmtId="165" fontId="12" fillId="0" borderId="29" xfId="1" applyNumberFormat="1" applyFont="1" applyFill="1" applyBorder="1" applyAlignment="1" applyProtection="1">
      <alignment horizontal="center" vertical="center" wrapText="1"/>
    </xf>
    <xf numFmtId="164" fontId="4" fillId="0" borderId="29" xfId="1" applyNumberFormat="1" applyFont="1" applyFill="1" applyBorder="1" applyAlignment="1" applyProtection="1">
      <alignment horizontal="center" vertical="center" wrapText="1"/>
    </xf>
    <xf numFmtId="164" fontId="18" fillId="0" borderId="29" xfId="1" applyNumberFormat="1" applyFont="1" applyFill="1" applyBorder="1" applyAlignment="1" applyProtection="1">
      <alignment horizontal="center" vertical="center" wrapText="1"/>
    </xf>
    <xf numFmtId="4" fontId="4" fillId="0" borderId="29" xfId="1" applyNumberFormat="1" applyFont="1" applyFill="1" applyBorder="1" applyAlignment="1" applyProtection="1">
      <alignment horizontal="center" vertical="center" wrapText="1"/>
    </xf>
    <xf numFmtId="165" fontId="21" fillId="0" borderId="29" xfId="1" applyNumberFormat="1" applyFont="1" applyFill="1" applyBorder="1" applyAlignment="1" applyProtection="1">
      <alignment horizontal="center" vertical="center" wrapText="1"/>
    </xf>
    <xf numFmtId="165" fontId="22" fillId="0" borderId="29" xfId="1" applyNumberFormat="1" applyFont="1" applyFill="1" applyBorder="1" applyAlignment="1" applyProtection="1">
      <alignment horizontal="center" vertical="center" wrapText="1"/>
    </xf>
    <xf numFmtId="0" fontId="17" fillId="4" borderId="29" xfId="1" applyFont="1" applyFill="1" applyBorder="1" applyAlignment="1" applyProtection="1">
      <alignment horizontal="left" vertical="top" wrapText="1" indent="2"/>
    </xf>
    <xf numFmtId="0" fontId="20" fillId="4" borderId="30" xfId="1" applyFont="1" applyFill="1" applyBorder="1" applyAlignment="1" applyProtection="1">
      <alignment vertical="top" wrapText="1"/>
    </xf>
    <xf numFmtId="164" fontId="6" fillId="0" borderId="29" xfId="1" applyNumberFormat="1" applyFont="1" applyBorder="1" applyAlignment="1">
      <alignment horizontal="center" vertical="center" wrapText="1"/>
    </xf>
    <xf numFmtId="164" fontId="6" fillId="3" borderId="29" xfId="1" applyNumberFormat="1" applyFont="1" applyFill="1" applyBorder="1" applyAlignment="1">
      <alignment horizontal="center" vertical="center" wrapText="1"/>
    </xf>
    <xf numFmtId="0" fontId="25" fillId="0" borderId="29" xfId="0" applyFont="1" applyBorder="1" applyAlignment="1">
      <alignment horizontal="center" vertical="center"/>
    </xf>
    <xf numFmtId="0" fontId="0" fillId="0" borderId="29" xfId="0" applyBorder="1"/>
    <xf numFmtId="166" fontId="4" fillId="3" borderId="29" xfId="1" applyNumberFormat="1" applyFont="1" applyFill="1" applyBorder="1" applyAlignment="1" applyProtection="1">
      <alignment horizontal="center" vertical="center" wrapText="1"/>
    </xf>
    <xf numFmtId="166" fontId="22" fillId="3" borderId="29" xfId="1" applyNumberFormat="1" applyFont="1" applyFill="1" applyBorder="1" applyAlignment="1" applyProtection="1">
      <alignment horizontal="center" vertical="center" wrapText="1"/>
    </xf>
    <xf numFmtId="166" fontId="6" fillId="0" borderId="27" xfId="1" applyNumberFormat="1" applyFont="1" applyFill="1" applyBorder="1" applyAlignment="1" applyProtection="1">
      <alignment horizontal="center" vertical="top" wrapText="1"/>
    </xf>
    <xf numFmtId="166" fontId="6" fillId="4" borderId="29" xfId="1" applyNumberFormat="1" applyFont="1" applyFill="1" applyBorder="1" applyAlignment="1" applyProtection="1">
      <alignment horizontal="center" vertical="top" wrapText="1"/>
    </xf>
    <xf numFmtId="166" fontId="4" fillId="4" borderId="29" xfId="1" applyNumberFormat="1" applyFont="1" applyFill="1" applyBorder="1" applyAlignment="1" applyProtection="1">
      <alignment horizontal="center" vertical="top" wrapText="1"/>
    </xf>
    <xf numFmtId="166" fontId="6" fillId="0" borderId="29" xfId="1" applyNumberFormat="1" applyFont="1" applyFill="1" applyBorder="1" applyAlignment="1" applyProtection="1">
      <alignment horizontal="center" vertical="top" wrapText="1"/>
    </xf>
    <xf numFmtId="166" fontId="6" fillId="0" borderId="23" xfId="2" applyNumberFormat="1" applyFont="1" applyFill="1" applyBorder="1" applyAlignment="1" applyProtection="1">
      <alignment horizontal="center" vertical="top" wrapText="1"/>
    </xf>
    <xf numFmtId="166" fontId="18" fillId="4" borderId="29" xfId="1" applyNumberFormat="1" applyFont="1" applyFill="1" applyBorder="1" applyAlignment="1" applyProtection="1">
      <alignment horizontal="center" vertical="top" wrapText="1"/>
    </xf>
    <xf numFmtId="166" fontId="17" fillId="4" borderId="29" xfId="1" applyNumberFormat="1" applyFont="1" applyFill="1" applyBorder="1" applyAlignment="1" applyProtection="1">
      <alignment horizontal="center" vertical="top" wrapText="1"/>
    </xf>
    <xf numFmtId="165" fontId="22" fillId="0" borderId="27" xfId="1" applyNumberFormat="1" applyFont="1" applyFill="1" applyBorder="1" applyAlignment="1" applyProtection="1">
      <alignment horizontal="center" vertical="top" wrapText="1"/>
    </xf>
    <xf numFmtId="165" fontId="22" fillId="0" borderId="23" xfId="1" applyNumberFormat="1" applyFont="1" applyFill="1" applyBorder="1" applyAlignment="1" applyProtection="1">
      <alignment horizontal="center" vertical="top" wrapText="1"/>
    </xf>
    <xf numFmtId="165" fontId="22" fillId="4" borderId="29" xfId="1" applyNumberFormat="1" applyFont="1" applyFill="1" applyBorder="1" applyAlignment="1" applyProtection="1">
      <alignment horizontal="center" vertical="top" wrapText="1"/>
    </xf>
    <xf numFmtId="165" fontId="21" fillId="4" borderId="29" xfId="1" applyNumberFormat="1" applyFont="1" applyFill="1" applyBorder="1" applyAlignment="1" applyProtection="1">
      <alignment horizontal="center" vertical="top" wrapText="1"/>
    </xf>
    <xf numFmtId="168" fontId="18" fillId="0" borderId="29" xfId="1" applyNumberFormat="1" applyFont="1" applyFill="1" applyBorder="1" applyAlignment="1" applyProtection="1">
      <alignment horizontal="center" vertical="top" wrapText="1"/>
    </xf>
    <xf numFmtId="164" fontId="6" fillId="0" borderId="23" xfId="1" applyNumberFormat="1" applyFont="1" applyFill="1" applyBorder="1" applyAlignment="1" applyProtection="1">
      <alignment horizontal="center" vertical="center" wrapText="1"/>
    </xf>
    <xf numFmtId="0" fontId="17" fillId="0" borderId="30" xfId="1" applyFont="1" applyFill="1" applyBorder="1" applyAlignment="1" applyProtection="1">
      <alignment vertical="top" wrapText="1"/>
    </xf>
    <xf numFmtId="166" fontId="12" fillId="0" borderId="29" xfId="1" applyNumberFormat="1" applyFont="1" applyFill="1" applyBorder="1" applyAlignment="1" applyProtection="1">
      <alignment horizontal="center" vertical="center" wrapText="1"/>
    </xf>
    <xf numFmtId="1" fontId="12" fillId="0" borderId="29" xfId="1" applyNumberFormat="1" applyFont="1" applyFill="1" applyBorder="1" applyAlignment="1" applyProtection="1">
      <alignment horizontal="center" vertical="center" wrapText="1"/>
    </xf>
    <xf numFmtId="165" fontId="26" fillId="0" borderId="29" xfId="1" applyNumberFormat="1" applyFont="1" applyFill="1" applyBorder="1" applyAlignment="1" applyProtection="1">
      <alignment horizontal="center" vertical="center" wrapText="1"/>
    </xf>
    <xf numFmtId="165" fontId="22" fillId="0" borderId="4" xfId="1" applyNumberFormat="1" applyFont="1" applyFill="1" applyBorder="1" applyAlignment="1" applyProtection="1">
      <alignment horizontal="center" vertical="top" wrapText="1"/>
    </xf>
    <xf numFmtId="165" fontId="26" fillId="0" borderId="23" xfId="1" applyNumberFormat="1" applyFont="1" applyFill="1" applyBorder="1" applyAlignment="1" applyProtection="1">
      <alignment horizontal="center" vertical="center" wrapText="1"/>
    </xf>
    <xf numFmtId="164" fontId="17" fillId="0" borderId="29" xfId="1" applyNumberFormat="1" applyFont="1" applyFill="1" applyBorder="1" applyAlignment="1" applyProtection="1">
      <alignment horizontal="center" vertical="top" wrapText="1"/>
    </xf>
    <xf numFmtId="166" fontId="21" fillId="0" borderId="29" xfId="1" applyNumberFormat="1" applyFont="1" applyFill="1" applyBorder="1" applyAlignment="1" applyProtection="1">
      <alignment horizontal="center" vertical="top" wrapText="1"/>
    </xf>
    <xf numFmtId="166" fontId="22" fillId="0" borderId="29" xfId="1" applyNumberFormat="1" applyFont="1" applyFill="1" applyBorder="1" applyAlignment="1" applyProtection="1">
      <alignment horizontal="center" vertical="top" wrapText="1"/>
    </xf>
    <xf numFmtId="0" fontId="18" fillId="0" borderId="29" xfId="1" applyFont="1" applyFill="1" applyBorder="1" applyAlignment="1" applyProtection="1">
      <alignment horizontal="left" vertical="top" wrapText="1" indent="1"/>
    </xf>
    <xf numFmtId="166" fontId="18" fillId="0" borderId="29" xfId="1" applyNumberFormat="1" applyFont="1" applyFill="1" applyBorder="1" applyAlignment="1" applyProtection="1">
      <alignment horizontal="center" vertical="top" wrapText="1"/>
    </xf>
    <xf numFmtId="0" fontId="17" fillId="4" borderId="29" xfId="1" applyFont="1" applyFill="1" applyBorder="1" applyAlignment="1" applyProtection="1">
      <alignment horizontal="left" vertical="top" wrapText="1" indent="3"/>
    </xf>
    <xf numFmtId="164" fontId="15" fillId="0" borderId="29" xfId="1" applyNumberFormat="1" applyFont="1" applyFill="1" applyBorder="1" applyAlignment="1" applyProtection="1">
      <alignment horizontal="center" vertical="center" wrapText="1"/>
    </xf>
    <xf numFmtId="164" fontId="15" fillId="0" borderId="23" xfId="1" applyNumberFormat="1" applyFont="1" applyFill="1" applyBorder="1" applyAlignment="1" applyProtection="1">
      <alignment horizontal="center" vertical="center" wrapText="1"/>
    </xf>
    <xf numFmtId="165" fontId="22" fillId="0" borderId="23" xfId="1" applyNumberFormat="1" applyFont="1" applyFill="1" applyBorder="1" applyAlignment="1" applyProtection="1">
      <alignment horizontal="center" vertical="center" wrapText="1"/>
    </xf>
    <xf numFmtId="169" fontId="15" fillId="0" borderId="29" xfId="1" applyNumberFormat="1" applyFont="1" applyFill="1" applyBorder="1" applyAlignment="1" applyProtection="1">
      <alignment horizontal="center" vertical="center" wrapText="1"/>
    </xf>
    <xf numFmtId="169" fontId="15" fillId="0" borderId="23" xfId="1" applyNumberFormat="1" applyFont="1" applyFill="1" applyBorder="1" applyAlignment="1" applyProtection="1">
      <alignment horizontal="center" vertical="center" wrapText="1"/>
    </xf>
    <xf numFmtId="3" fontId="17" fillId="0" borderId="29" xfId="1" applyNumberFormat="1" applyFont="1" applyFill="1" applyBorder="1" applyAlignment="1" applyProtection="1">
      <alignment horizontal="center" vertical="top" wrapText="1"/>
    </xf>
    <xf numFmtId="0" fontId="20" fillId="0" borderId="30" xfId="1" applyFont="1" applyFill="1" applyBorder="1" applyAlignment="1" applyProtection="1">
      <alignment vertical="top" wrapText="1"/>
    </xf>
    <xf numFmtId="10" fontId="17" fillId="4" borderId="29" xfId="1" applyNumberFormat="1" applyFont="1" applyFill="1" applyBorder="1" applyAlignment="1" applyProtection="1">
      <alignment horizontal="center" vertical="top" wrapText="1"/>
    </xf>
    <xf numFmtId="0" fontId="6" fillId="3" borderId="29" xfId="1" applyFont="1" applyFill="1" applyBorder="1" applyAlignment="1">
      <alignment horizontal="left" vertical="center" wrapText="1"/>
    </xf>
    <xf numFmtId="166" fontId="6" fillId="0" borderId="29" xfId="1" applyNumberFormat="1" applyFont="1" applyFill="1" applyBorder="1" applyAlignment="1" applyProtection="1">
      <alignment horizontal="center" vertical="center" wrapText="1"/>
    </xf>
    <xf numFmtId="168" fontId="6" fillId="0" borderId="29" xfId="1" applyNumberFormat="1" applyFont="1" applyFill="1" applyBorder="1" applyAlignment="1" applyProtection="1">
      <alignment horizontal="center" vertical="center" wrapText="1"/>
    </xf>
    <xf numFmtId="0" fontId="27" fillId="0" borderId="30" xfId="1" applyFont="1" applyFill="1" applyBorder="1" applyAlignment="1" applyProtection="1">
      <alignment vertical="top" wrapText="1"/>
    </xf>
    <xf numFmtId="0" fontId="21" fillId="4" borderId="29" xfId="1" applyFont="1" applyFill="1" applyBorder="1" applyAlignment="1" applyProtection="1">
      <alignment horizontal="left" vertical="top" wrapText="1" indent="2"/>
    </xf>
    <xf numFmtId="3" fontId="21" fillId="4" borderId="29" xfId="1" applyNumberFormat="1" applyFont="1" applyFill="1" applyBorder="1" applyAlignment="1" applyProtection="1">
      <alignment horizontal="center" vertical="top" wrapText="1"/>
    </xf>
    <xf numFmtId="164" fontId="21" fillId="4" borderId="29" xfId="1" applyNumberFormat="1" applyFont="1" applyFill="1" applyBorder="1" applyAlignment="1" applyProtection="1">
      <alignment horizontal="center" vertical="top" wrapText="1"/>
    </xf>
    <xf numFmtId="166" fontId="21" fillId="4" borderId="29" xfId="1" applyNumberFormat="1" applyFont="1" applyFill="1" applyBorder="1" applyAlignment="1" applyProtection="1">
      <alignment horizontal="center" vertical="top" wrapText="1"/>
    </xf>
    <xf numFmtId="0" fontId="21" fillId="4" borderId="30" xfId="1" applyFont="1" applyFill="1" applyBorder="1" applyAlignment="1" applyProtection="1">
      <alignment vertical="top" wrapText="1"/>
    </xf>
    <xf numFmtId="164" fontId="4" fillId="0" borderId="1" xfId="1" applyNumberFormat="1" applyFont="1" applyFill="1" applyBorder="1" applyAlignment="1" applyProtection="1">
      <alignment horizontal="center" vertical="top" wrapText="1"/>
    </xf>
    <xf numFmtId="166" fontId="6" fillId="0" borderId="28" xfId="1" applyNumberFormat="1" applyFont="1" applyFill="1" applyBorder="1" applyAlignment="1" applyProtection="1">
      <alignment vertical="top" wrapText="1"/>
    </xf>
    <xf numFmtId="0" fontId="29" fillId="0" borderId="29" xfId="1" applyFont="1" applyFill="1" applyBorder="1" applyAlignment="1" applyProtection="1">
      <alignment horizontal="left" vertical="top" wrapText="1" indent="1"/>
    </xf>
    <xf numFmtId="0" fontId="28" fillId="0" borderId="29" xfId="1" applyFont="1" applyFill="1" applyBorder="1" applyAlignment="1" applyProtection="1">
      <alignment horizontal="left" vertical="top" wrapText="1" indent="1"/>
    </xf>
    <xf numFmtId="0" fontId="25" fillId="0" borderId="27" xfId="0" applyFont="1" applyBorder="1" applyAlignment="1">
      <alignment horizontal="center" vertical="center"/>
    </xf>
    <xf numFmtId="0" fontId="0" fillId="0" borderId="27" xfId="0" applyBorder="1"/>
    <xf numFmtId="0" fontId="0" fillId="0" borderId="28" xfId="0" applyBorder="1"/>
    <xf numFmtId="0" fontId="25" fillId="0" borderId="29" xfId="0" applyFont="1" applyBorder="1"/>
    <xf numFmtId="0" fontId="0" fillId="0" borderId="30" xfId="0" applyBorder="1"/>
    <xf numFmtId="0" fontId="22" fillId="0" borderId="29" xfId="0" applyFont="1" applyBorder="1" applyAlignment="1">
      <alignment horizontal="center" vertical="center"/>
    </xf>
    <xf numFmtId="0" fontId="31" fillId="0" borderId="29" xfId="0" applyFont="1" applyBorder="1"/>
    <xf numFmtId="0" fontId="31" fillId="0" borderId="30" xfId="0" applyFont="1" applyBorder="1"/>
    <xf numFmtId="0" fontId="22" fillId="0" borderId="29" xfId="0" applyFont="1" applyBorder="1" applyAlignment="1">
      <alignment horizontal="left" indent="2"/>
    </xf>
    <xf numFmtId="166" fontId="17" fillId="4" borderId="29" xfId="2" applyNumberFormat="1" applyFont="1" applyFill="1" applyBorder="1" applyAlignment="1" applyProtection="1">
      <alignment horizontal="center" vertical="top" wrapText="1"/>
    </xf>
    <xf numFmtId="10" fontId="20" fillId="4" borderId="29" xfId="1" applyNumberFormat="1" applyFont="1" applyFill="1" applyBorder="1" applyAlignment="1" applyProtection="1">
      <alignment horizontal="center" vertical="top" wrapText="1"/>
    </xf>
    <xf numFmtId="0" fontId="32" fillId="4" borderId="29" xfId="0" applyFont="1" applyFill="1" applyBorder="1" applyAlignment="1">
      <alignment horizontal="left" indent="1"/>
    </xf>
    <xf numFmtId="0" fontId="32" fillId="4" borderId="29" xfId="0" applyFont="1" applyFill="1" applyBorder="1" applyAlignment="1">
      <alignment horizontal="center" vertical="center"/>
    </xf>
    <xf numFmtId="0" fontId="25" fillId="0" borderId="29" xfId="0" applyFont="1" applyBorder="1" applyAlignment="1">
      <alignment wrapText="1"/>
    </xf>
    <xf numFmtId="0" fontId="21" fillId="0" borderId="29" xfId="0" applyFont="1" applyBorder="1" applyAlignment="1">
      <alignment horizontal="left" indent="1"/>
    </xf>
    <xf numFmtId="0" fontId="21" fillId="0" borderId="29" xfId="0" applyFont="1" applyBorder="1" applyAlignment="1">
      <alignment horizontal="center" vertical="center"/>
    </xf>
    <xf numFmtId="0" fontId="33" fillId="0" borderId="29" xfId="0" applyFont="1" applyBorder="1"/>
    <xf numFmtId="0" fontId="33" fillId="0" borderId="30" xfId="0" applyFont="1" applyBorder="1"/>
    <xf numFmtId="0" fontId="8" fillId="0" borderId="27" xfId="1" applyFont="1" applyFill="1" applyBorder="1" applyAlignment="1" applyProtection="1">
      <alignment horizontal="left" vertical="center" wrapText="1"/>
    </xf>
    <xf numFmtId="0" fontId="17" fillId="2" borderId="29" xfId="1" applyFont="1" applyFill="1" applyBorder="1" applyAlignment="1" applyProtection="1">
      <alignment horizontal="left" vertical="top" wrapText="1" indent="2"/>
    </xf>
    <xf numFmtId="0" fontId="17" fillId="0" borderId="27" xfId="1" applyFont="1" applyFill="1" applyBorder="1" applyAlignment="1" applyProtection="1">
      <alignment horizontal="left" vertical="top" wrapText="1" indent="1"/>
    </xf>
    <xf numFmtId="3" fontId="10" fillId="0" borderId="28" xfId="1" applyNumberFormat="1" applyFont="1" applyFill="1" applyBorder="1" applyAlignment="1" applyProtection="1">
      <alignment vertical="top" wrapText="1"/>
    </xf>
    <xf numFmtId="10" fontId="6" fillId="0" borderId="23" xfId="1" applyNumberFormat="1" applyFont="1" applyFill="1" applyBorder="1" applyAlignment="1" applyProtection="1">
      <alignment horizontal="center" vertical="top" wrapText="1"/>
    </xf>
    <xf numFmtId="3" fontId="10" fillId="0" borderId="26" xfId="1" applyNumberFormat="1" applyFont="1" applyFill="1" applyBorder="1" applyAlignment="1" applyProtection="1">
      <alignment vertical="top" wrapText="1"/>
    </xf>
    <xf numFmtId="0" fontId="6" fillId="3" borderId="29" xfId="1" applyFont="1" applyFill="1" applyBorder="1" applyAlignment="1">
      <alignment horizontal="left" vertical="top" wrapText="1" indent="1"/>
    </xf>
    <xf numFmtId="3" fontId="4" fillId="0" borderId="1" xfId="1" applyNumberFormat="1" applyFont="1" applyFill="1" applyBorder="1" applyAlignment="1" applyProtection="1">
      <alignment horizontal="center" vertical="top" wrapText="1"/>
    </xf>
    <xf numFmtId="3" fontId="11" fillId="0" borderId="1" xfId="1" applyNumberFormat="1" applyFont="1" applyFill="1" applyBorder="1" applyAlignment="1" applyProtection="1">
      <alignment vertical="top" wrapText="1"/>
    </xf>
    <xf numFmtId="3" fontId="10" fillId="0" borderId="14" xfId="1" applyNumberFormat="1" applyFont="1" applyFill="1" applyBorder="1" applyAlignment="1" applyProtection="1">
      <alignment vertical="top" wrapText="1"/>
    </xf>
    <xf numFmtId="3" fontId="20" fillId="4" borderId="30" xfId="1" applyNumberFormat="1" applyFont="1" applyFill="1" applyBorder="1" applyAlignment="1" applyProtection="1">
      <alignment vertical="top" wrapText="1"/>
    </xf>
    <xf numFmtId="0" fontId="8" fillId="0" borderId="4" xfId="1" applyFont="1" applyFill="1" applyBorder="1" applyAlignment="1" applyProtection="1">
      <alignment horizontal="left" vertical="top" wrapText="1" indent="1"/>
    </xf>
    <xf numFmtId="3" fontId="6" fillId="0" borderId="4" xfId="1" applyNumberFormat="1" applyFont="1" applyFill="1" applyBorder="1" applyAlignment="1" applyProtection="1">
      <alignment horizontal="center" vertical="top" wrapText="1"/>
    </xf>
    <xf numFmtId="164" fontId="6" fillId="0" borderId="4" xfId="1" applyNumberFormat="1" applyFont="1" applyFill="1" applyBorder="1" applyAlignment="1" applyProtection="1">
      <alignment horizontal="center" vertical="top" wrapText="1"/>
    </xf>
    <xf numFmtId="166" fontId="6" fillId="0" borderId="4" xfId="1" applyNumberFormat="1" applyFont="1" applyFill="1" applyBorder="1" applyAlignment="1" applyProtection="1">
      <alignment horizontal="center" vertical="top" wrapText="1"/>
    </xf>
    <xf numFmtId="0" fontId="17" fillId="0" borderId="32" xfId="1" applyFont="1" applyFill="1" applyBorder="1" applyAlignment="1" applyProtection="1">
      <alignment horizontal="left" vertical="top" wrapText="1" indent="1"/>
    </xf>
    <xf numFmtId="166" fontId="6" fillId="0" borderId="27" xfId="2" applyNumberFormat="1" applyFont="1" applyFill="1" applyBorder="1" applyAlignment="1" applyProtection="1">
      <alignment horizontal="center" vertical="top" wrapText="1"/>
    </xf>
    <xf numFmtId="165" fontId="6" fillId="0" borderId="27" xfId="2" applyNumberFormat="1" applyFont="1" applyFill="1" applyBorder="1" applyAlignment="1" applyProtection="1">
      <alignment horizontal="center" vertical="center" wrapText="1"/>
    </xf>
    <xf numFmtId="0" fontId="4" fillId="0" borderId="31" xfId="1" applyFont="1" applyFill="1" applyBorder="1" applyAlignment="1" applyProtection="1">
      <alignment horizontal="left" vertical="top" wrapText="1" indent="3"/>
    </xf>
    <xf numFmtId="0" fontId="17" fillId="4" borderId="31" xfId="1" applyFont="1" applyFill="1" applyBorder="1" applyAlignment="1" applyProtection="1">
      <alignment horizontal="left" vertical="top" wrapText="1" indent="1"/>
    </xf>
    <xf numFmtId="165" fontId="17" fillId="4" borderId="29" xfId="2" applyNumberFormat="1" applyFont="1" applyFill="1" applyBorder="1" applyAlignment="1" applyProtection="1">
      <alignment horizontal="center" vertical="center" wrapText="1"/>
    </xf>
    <xf numFmtId="0" fontId="25" fillId="0" borderId="23" xfId="0" applyFont="1" applyBorder="1" applyAlignment="1">
      <alignment wrapText="1"/>
    </xf>
    <xf numFmtId="0" fontId="25" fillId="0" borderId="23" xfId="0" applyFont="1" applyBorder="1" applyAlignment="1">
      <alignment horizontal="center" vertical="center"/>
    </xf>
    <xf numFmtId="0" fontId="0" fillId="0" borderId="23" xfId="0" applyBorder="1"/>
    <xf numFmtId="0" fontId="0" fillId="0" borderId="26" xfId="0" applyBorder="1"/>
    <xf numFmtId="0" fontId="25" fillId="0" borderId="27" xfId="0" applyFont="1" applyBorder="1"/>
    <xf numFmtId="0" fontId="32" fillId="4" borderId="29" xfId="0" applyFont="1" applyFill="1" applyBorder="1"/>
    <xf numFmtId="0" fontId="25" fillId="4" borderId="29" xfId="0" applyFont="1" applyFill="1" applyBorder="1"/>
    <xf numFmtId="0" fontId="25" fillId="4" borderId="29" xfId="0" applyFont="1" applyFill="1" applyBorder="1" applyAlignment="1">
      <alignment horizontal="center" vertical="center"/>
    </xf>
    <xf numFmtId="0" fontId="0" fillId="4" borderId="29" xfId="0" applyFill="1" applyBorder="1"/>
    <xf numFmtId="0" fontId="0" fillId="4" borderId="30" xfId="0" applyFill="1" applyBorder="1"/>
    <xf numFmtId="167" fontId="19" fillId="0" borderId="29" xfId="3" applyNumberFormat="1" applyFont="1" applyFill="1" applyBorder="1" applyAlignment="1" applyProtection="1">
      <alignment vertical="top" wrapText="1"/>
    </xf>
    <xf numFmtId="167" fontId="20" fillId="0" borderId="30" xfId="3" applyNumberFormat="1" applyFont="1" applyFill="1" applyBorder="1" applyAlignment="1" applyProtection="1">
      <alignment vertical="top" wrapText="1"/>
    </xf>
    <xf numFmtId="0" fontId="32" fillId="0" borderId="27" xfId="0" applyFont="1" applyBorder="1" applyAlignment="1">
      <alignment vertical="center" wrapText="1"/>
    </xf>
    <xf numFmtId="169" fontId="4" fillId="0" borderId="29" xfId="1" applyNumberFormat="1" applyFont="1" applyFill="1" applyBorder="1" applyAlignment="1" applyProtection="1">
      <alignment horizontal="center" vertical="top" wrapText="1"/>
    </xf>
    <xf numFmtId="169" fontId="18" fillId="0" borderId="29" xfId="1" applyNumberFormat="1" applyFont="1" applyFill="1" applyBorder="1" applyAlignment="1" applyProtection="1">
      <alignment horizontal="center" vertical="top" wrapText="1"/>
    </xf>
    <xf numFmtId="2" fontId="6" fillId="0" borderId="29" xfId="1" applyNumberFormat="1" applyFont="1" applyFill="1" applyBorder="1" applyAlignment="1" applyProtection="1">
      <alignment horizontal="center" vertical="center" wrapText="1"/>
    </xf>
    <xf numFmtId="166" fontId="6" fillId="0" borderId="23" xfId="1" applyNumberFormat="1" applyFont="1" applyFill="1" applyBorder="1" applyAlignment="1" applyProtection="1">
      <alignment horizontal="center" vertical="center" wrapText="1"/>
    </xf>
    <xf numFmtId="2" fontId="6" fillId="0" borderId="23" xfId="1" applyNumberFormat="1" applyFont="1" applyFill="1" applyBorder="1" applyAlignment="1" applyProtection="1">
      <alignment horizontal="center" vertical="center" wrapText="1"/>
    </xf>
    <xf numFmtId="2" fontId="12" fillId="0" borderId="29" xfId="1" applyNumberFormat="1" applyFont="1" applyFill="1" applyBorder="1" applyAlignment="1" applyProtection="1">
      <alignment horizontal="center" vertical="center" wrapText="1"/>
    </xf>
    <xf numFmtId="166" fontId="12" fillId="0" borderId="1" xfId="1" applyNumberFormat="1" applyFont="1" applyFill="1" applyBorder="1" applyAlignment="1" applyProtection="1">
      <alignment horizontal="center" vertical="center" wrapText="1"/>
    </xf>
    <xf numFmtId="164" fontId="12" fillId="0" borderId="1" xfId="1" applyNumberFormat="1" applyFont="1" applyFill="1" applyBorder="1" applyAlignment="1" applyProtection="1">
      <alignment horizontal="center" vertical="center" wrapText="1"/>
    </xf>
    <xf numFmtId="165" fontId="6" fillId="0" borderId="23" xfId="1" applyNumberFormat="1" applyFont="1" applyFill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left" vertical="top" wrapText="1" indent="3"/>
    </xf>
    <xf numFmtId="3" fontId="6" fillId="0" borderId="29" xfId="0" applyNumberFormat="1" applyFont="1" applyFill="1" applyBorder="1" applyAlignment="1" applyProtection="1">
      <alignment horizontal="center" vertical="top" wrapText="1"/>
    </xf>
    <xf numFmtId="3" fontId="6" fillId="0" borderId="23" xfId="0" applyNumberFormat="1" applyFont="1" applyFill="1" applyBorder="1" applyAlignment="1" applyProtection="1">
      <alignment horizontal="center" vertical="top" wrapText="1"/>
    </xf>
    <xf numFmtId="0" fontId="34" fillId="0" borderId="7" xfId="0" applyFont="1" applyFill="1" applyBorder="1" applyAlignment="1" applyProtection="1">
      <alignment horizontal="left" vertical="top" wrapText="1"/>
    </xf>
    <xf numFmtId="3" fontId="35" fillId="0" borderId="7" xfId="0" applyNumberFormat="1" applyFont="1" applyFill="1" applyBorder="1" applyAlignment="1" applyProtection="1">
      <alignment horizontal="center" vertical="top" wrapText="1"/>
    </xf>
    <xf numFmtId="164" fontId="35" fillId="0" borderId="7" xfId="0" applyNumberFormat="1" applyFont="1" applyFill="1" applyBorder="1" applyAlignment="1" applyProtection="1">
      <alignment horizontal="center" vertical="top" wrapText="1"/>
    </xf>
    <xf numFmtId="165" fontId="35" fillId="0" borderId="7" xfId="0" applyNumberFormat="1" applyFont="1" applyFill="1" applyBorder="1" applyAlignment="1" applyProtection="1">
      <alignment horizontal="center" vertical="top" wrapText="1"/>
    </xf>
    <xf numFmtId="0" fontId="36" fillId="0" borderId="9" xfId="0" applyFont="1" applyFill="1" applyBorder="1" applyAlignment="1" applyProtection="1">
      <alignment vertical="top" wrapText="1"/>
    </xf>
    <xf numFmtId="0" fontId="36" fillId="0" borderId="7" xfId="0" applyFont="1" applyFill="1" applyBorder="1" applyAlignment="1" applyProtection="1">
      <alignment vertical="top" wrapText="1"/>
    </xf>
    <xf numFmtId="0" fontId="37" fillId="0" borderId="11" xfId="0" applyFont="1" applyFill="1" applyBorder="1" applyAlignment="1" applyProtection="1">
      <alignment vertical="top" wrapText="1"/>
    </xf>
    <xf numFmtId="0" fontId="38" fillId="0" borderId="3" xfId="0" applyFont="1" applyFill="1" applyBorder="1" applyAlignment="1" applyProtection="1">
      <alignment horizontal="left" vertical="top" wrapText="1" indent="2"/>
    </xf>
    <xf numFmtId="3" fontId="38" fillId="0" borderId="3" xfId="0" applyNumberFormat="1" applyFont="1" applyFill="1" applyBorder="1" applyAlignment="1" applyProtection="1">
      <alignment horizontal="center" vertical="top" wrapText="1"/>
    </xf>
    <xf numFmtId="164" fontId="38" fillId="0" borderId="3" xfId="0" applyNumberFormat="1" applyFont="1" applyFill="1" applyBorder="1" applyAlignment="1" applyProtection="1">
      <alignment horizontal="center" vertical="top" wrapText="1"/>
    </xf>
    <xf numFmtId="164" fontId="39" fillId="0" borderId="3" xfId="0" applyNumberFormat="1" applyFont="1" applyFill="1" applyBorder="1" applyAlignment="1" applyProtection="1">
      <alignment horizontal="center" vertical="top" wrapText="1"/>
    </xf>
    <xf numFmtId="165" fontId="35" fillId="0" borderId="3" xfId="0" applyNumberFormat="1" applyFont="1" applyFill="1" applyBorder="1" applyAlignment="1" applyProtection="1">
      <alignment horizontal="center" vertical="top" wrapText="1"/>
    </xf>
    <xf numFmtId="0" fontId="36" fillId="0" borderId="0" xfId="0" applyFont="1" applyFill="1" applyBorder="1" applyAlignment="1" applyProtection="1">
      <alignment vertical="top" wrapText="1"/>
    </xf>
    <xf numFmtId="0" fontId="36" fillId="0" borderId="3" xfId="0" applyFont="1" applyFill="1" applyBorder="1" applyAlignment="1" applyProtection="1">
      <alignment vertical="top" wrapText="1"/>
    </xf>
    <xf numFmtId="0" fontId="37" fillId="0" borderId="15" xfId="0" applyFont="1" applyFill="1" applyBorder="1" applyAlignment="1" applyProtection="1">
      <alignment horizontal="left" vertical="top" wrapText="1"/>
    </xf>
    <xf numFmtId="0" fontId="38" fillId="0" borderId="3" xfId="0" applyFont="1" applyFill="1" applyBorder="1" applyAlignment="1" applyProtection="1">
      <alignment horizontal="left" vertical="top" wrapText="1" indent="3"/>
    </xf>
    <xf numFmtId="3" fontId="40" fillId="0" borderId="2" xfId="0" applyNumberFormat="1" applyFont="1" applyFill="1" applyBorder="1" applyAlignment="1" applyProtection="1">
      <alignment vertical="top" wrapText="1"/>
    </xf>
    <xf numFmtId="3" fontId="40" fillId="0" borderId="3" xfId="0" applyNumberFormat="1" applyFont="1" applyFill="1" applyBorder="1" applyAlignment="1" applyProtection="1">
      <alignment vertical="top" wrapText="1"/>
    </xf>
    <xf numFmtId="3" fontId="40" fillId="0" borderId="0" xfId="0" applyNumberFormat="1" applyFont="1" applyFill="1" applyBorder="1" applyAlignment="1" applyProtection="1">
      <alignment vertical="top" wrapText="1"/>
    </xf>
    <xf numFmtId="0" fontId="35" fillId="0" borderId="17" xfId="0" applyFont="1" applyFill="1" applyBorder="1" applyAlignment="1" applyProtection="1">
      <alignment horizontal="left" vertical="top" wrapText="1" indent="1"/>
    </xf>
    <xf numFmtId="3" fontId="35" fillId="0" borderId="17" xfId="0" applyNumberFormat="1" applyFont="1" applyFill="1" applyBorder="1" applyAlignment="1" applyProtection="1">
      <alignment horizontal="center" vertical="top" wrapText="1"/>
    </xf>
    <xf numFmtId="164" fontId="35" fillId="0" borderId="17" xfId="0" applyNumberFormat="1" applyFont="1" applyFill="1" applyBorder="1" applyAlignment="1" applyProtection="1">
      <alignment horizontal="center" vertical="top" wrapText="1"/>
    </xf>
    <xf numFmtId="165" fontId="35" fillId="0" borderId="17" xfId="2" applyNumberFormat="1" applyFont="1" applyFill="1" applyBorder="1" applyAlignment="1" applyProtection="1">
      <alignment horizontal="center" vertical="top" wrapText="1"/>
    </xf>
    <xf numFmtId="165" fontId="41" fillId="0" borderId="17" xfId="0" applyNumberFormat="1" applyFont="1" applyFill="1" applyBorder="1" applyAlignment="1" applyProtection="1">
      <alignment horizontal="center" vertical="top" wrapText="1"/>
    </xf>
    <xf numFmtId="165" fontId="35" fillId="0" borderId="17" xfId="0" applyNumberFormat="1" applyFont="1" applyFill="1" applyBorder="1" applyAlignment="1" applyProtection="1">
      <alignment horizontal="center" vertical="top" wrapText="1"/>
    </xf>
    <xf numFmtId="0" fontId="37" fillId="0" borderId="36" xfId="0" applyFont="1" applyFill="1" applyBorder="1" applyAlignment="1" applyProtection="1">
      <alignment vertical="top" wrapText="1"/>
    </xf>
    <xf numFmtId="3" fontId="40" fillId="0" borderId="19" xfId="0" applyNumberFormat="1" applyFont="1" applyFill="1" applyBorder="1" applyAlignment="1" applyProtection="1">
      <alignment vertical="top" wrapText="1"/>
    </xf>
    <xf numFmtId="4" fontId="6" fillId="0" borderId="29" xfId="1" applyNumberFormat="1" applyFont="1" applyFill="1" applyBorder="1" applyAlignment="1" applyProtection="1">
      <alignment horizontal="center" vertical="center" wrapText="1"/>
    </xf>
    <xf numFmtId="166" fontId="6" fillId="0" borderId="1" xfId="1" applyNumberFormat="1" applyFont="1" applyFill="1" applyBorder="1" applyAlignment="1" applyProtection="1">
      <alignment horizontal="center" vertical="center" wrapText="1"/>
    </xf>
    <xf numFmtId="164" fontId="6" fillId="0" borderId="1" xfId="1" applyNumberFormat="1" applyFont="1" applyFill="1" applyBorder="1" applyAlignment="1" applyProtection="1">
      <alignment horizontal="center" vertical="center" wrapText="1"/>
    </xf>
    <xf numFmtId="0" fontId="6" fillId="0" borderId="29" xfId="0" applyFont="1" applyBorder="1" applyAlignment="1">
      <alignment horizontal="left" vertical="top" wrapText="1" indent="3"/>
    </xf>
    <xf numFmtId="0" fontId="6" fillId="0" borderId="23" xfId="0" applyFont="1" applyBorder="1" applyAlignment="1">
      <alignment horizontal="left" vertical="top" wrapText="1" indent="3"/>
    </xf>
    <xf numFmtId="0" fontId="6" fillId="0" borderId="29" xfId="0" applyFont="1" applyBorder="1" applyAlignment="1">
      <alignment horizontal="center" vertical="top" wrapText="1"/>
    </xf>
    <xf numFmtId="164" fontId="6" fillId="0" borderId="29" xfId="0" applyNumberFormat="1" applyFont="1" applyFill="1" applyBorder="1" applyAlignment="1" applyProtection="1">
      <alignment horizontal="center" vertical="top" wrapText="1"/>
    </xf>
    <xf numFmtId="164" fontId="6" fillId="0" borderId="23" xfId="0" applyNumberFormat="1" applyFont="1" applyFill="1" applyBorder="1" applyAlignment="1" applyProtection="1">
      <alignment horizontal="center" vertical="top" wrapText="1"/>
    </xf>
    <xf numFmtId="2" fontId="6" fillId="0" borderId="29" xfId="1" applyNumberFormat="1" applyFont="1" applyFill="1" applyBorder="1" applyAlignment="1" applyProtection="1">
      <alignment horizontal="center" vertical="top" wrapText="1"/>
    </xf>
    <xf numFmtId="0" fontId="6" fillId="0" borderId="29" xfId="1" applyFont="1" applyFill="1" applyBorder="1" applyAlignment="1" applyProtection="1">
      <alignment horizontal="left" vertical="center" wrapText="1"/>
    </xf>
    <xf numFmtId="0" fontId="6" fillId="0" borderId="23" xfId="1" applyFont="1" applyFill="1" applyBorder="1" applyAlignment="1" applyProtection="1">
      <alignment horizontal="left" vertical="center" wrapText="1"/>
    </xf>
    <xf numFmtId="0" fontId="16" fillId="0" borderId="27" xfId="1" applyFont="1" applyFill="1" applyBorder="1" applyAlignment="1" applyProtection="1">
      <alignment horizontal="left" vertical="center" wrapText="1"/>
    </xf>
    <xf numFmtId="170" fontId="21" fillId="0" borderId="29" xfId="1" applyNumberFormat="1" applyFont="1" applyFill="1" applyBorder="1" applyAlignment="1" applyProtection="1">
      <alignment horizontal="center" vertical="top" wrapText="1"/>
    </xf>
    <xf numFmtId="170" fontId="22" fillId="0" borderId="29" xfId="1" applyNumberFormat="1" applyFont="1" applyFill="1" applyBorder="1" applyAlignment="1" applyProtection="1">
      <alignment horizontal="center" vertical="top" wrapText="1"/>
    </xf>
    <xf numFmtId="0" fontId="4" fillId="0" borderId="29" xfId="1" applyFont="1" applyFill="1" applyBorder="1" applyAlignment="1" applyProtection="1">
      <alignment horizontal="left" vertical="center" wrapText="1" indent="2"/>
    </xf>
    <xf numFmtId="43" fontId="18" fillId="0" borderId="4" xfId="1" applyNumberFormat="1" applyFont="1" applyFill="1" applyBorder="1" applyAlignment="1" applyProtection="1">
      <alignment horizontal="center" vertical="top" wrapText="1"/>
    </xf>
    <xf numFmtId="43" fontId="4" fillId="0" borderId="29" xfId="1" applyNumberFormat="1" applyFont="1" applyFill="1" applyBorder="1" applyAlignment="1" applyProtection="1">
      <alignment horizontal="center" vertical="top" wrapText="1"/>
    </xf>
    <xf numFmtId="43" fontId="4" fillId="0" borderId="1" xfId="1" applyNumberFormat="1" applyFont="1" applyFill="1" applyBorder="1" applyAlignment="1" applyProtection="1">
      <alignment horizontal="center" vertical="top" wrapText="1"/>
    </xf>
    <xf numFmtId="165" fontId="21" fillId="0" borderId="29" xfId="0" applyNumberFormat="1" applyFont="1" applyBorder="1" applyAlignment="1">
      <alignment horizontal="center" vertical="center"/>
    </xf>
    <xf numFmtId="165" fontId="22" fillId="0" borderId="29" xfId="0" applyNumberFormat="1" applyFont="1" applyBorder="1" applyAlignment="1">
      <alignment horizontal="center" vertical="center"/>
    </xf>
    <xf numFmtId="170" fontId="18" fillId="0" borderId="29" xfId="1" applyNumberFormat="1" applyFont="1" applyFill="1" applyBorder="1" applyAlignment="1" applyProtection="1">
      <alignment horizontal="center" vertical="top" wrapText="1"/>
    </xf>
    <xf numFmtId="170" fontId="4" fillId="0" borderId="29" xfId="1" applyNumberFormat="1" applyFont="1" applyFill="1" applyBorder="1" applyAlignment="1" applyProtection="1">
      <alignment horizontal="center" vertical="top" wrapText="1"/>
    </xf>
    <xf numFmtId="0" fontId="4" fillId="0" borderId="29" xfId="1" applyFont="1" applyFill="1" applyBorder="1" applyAlignment="1" applyProtection="1">
      <alignment horizontal="left" vertical="center" wrapText="1" indent="3"/>
    </xf>
    <xf numFmtId="0" fontId="6" fillId="0" borderId="29" xfId="1" applyFont="1" applyBorder="1" applyAlignment="1">
      <alignment horizontal="justify" vertical="center" wrapText="1"/>
    </xf>
    <xf numFmtId="0" fontId="6" fillId="3" borderId="29" xfId="1" applyFont="1" applyFill="1" applyBorder="1" applyAlignment="1" applyProtection="1">
      <alignment horizontal="left" vertical="center" wrapText="1" indent="1"/>
    </xf>
    <xf numFmtId="0" fontId="6" fillId="3" borderId="29" xfId="1" applyFont="1" applyFill="1" applyBorder="1" applyAlignment="1" applyProtection="1">
      <alignment horizontal="left" vertical="center" wrapText="1" indent="2"/>
    </xf>
    <xf numFmtId="0" fontId="6" fillId="3" borderId="1" xfId="1" applyFont="1" applyFill="1" applyBorder="1" applyAlignment="1" applyProtection="1">
      <alignment horizontal="left" vertical="center" wrapText="1" indent="2"/>
    </xf>
    <xf numFmtId="0" fontId="6" fillId="0" borderId="29" xfId="1" applyFont="1" applyBorder="1" applyAlignment="1">
      <alignment horizontal="left" vertical="top" wrapText="1" indent="2"/>
    </xf>
    <xf numFmtId="0" fontId="6" fillId="0" borderId="29" xfId="1" applyFont="1" applyBorder="1" applyAlignment="1">
      <alignment horizontal="left" vertical="center" wrapText="1" indent="2"/>
    </xf>
    <xf numFmtId="0" fontId="18" fillId="0" borderId="31" xfId="1" applyFont="1" applyFill="1" applyBorder="1" applyAlignment="1" applyProtection="1">
      <alignment horizontal="left" vertical="top" wrapText="1" indent="2"/>
    </xf>
    <xf numFmtId="0" fontId="6" fillId="0" borderId="29" xfId="1" applyFont="1" applyFill="1" applyBorder="1" applyAlignment="1" applyProtection="1">
      <alignment horizontal="left" vertical="center" wrapText="1" indent="2"/>
    </xf>
    <xf numFmtId="165" fontId="42" fillId="4" borderId="29" xfId="1" applyNumberFormat="1" applyFont="1" applyFill="1" applyBorder="1" applyAlignment="1" applyProtection="1">
      <alignment horizontal="center" vertical="top" wrapText="1"/>
    </xf>
    <xf numFmtId="0" fontId="18" fillId="4" borderId="29" xfId="1" applyFont="1" applyFill="1" applyBorder="1" applyAlignment="1" applyProtection="1">
      <alignment horizontal="center" vertical="top" wrapText="1"/>
    </xf>
    <xf numFmtId="0" fontId="6" fillId="0" borderId="13" xfId="1" applyFont="1" applyFill="1" applyBorder="1" applyAlignment="1" applyProtection="1">
      <alignment vertical="top" wrapText="1"/>
    </xf>
    <xf numFmtId="0" fontId="43" fillId="0" borderId="4" xfId="1" applyFont="1" applyFill="1" applyBorder="1" applyAlignment="1" applyProtection="1">
      <alignment horizontal="left" vertical="center" wrapText="1" indent="2"/>
    </xf>
    <xf numFmtId="3" fontId="22" fillId="0" borderId="4" xfId="1" applyNumberFormat="1" applyFont="1" applyFill="1" applyBorder="1" applyAlignment="1" applyProtection="1">
      <alignment horizontal="center" vertical="top" wrapText="1"/>
    </xf>
    <xf numFmtId="0" fontId="44" fillId="0" borderId="4" xfId="1" applyFont="1" applyFill="1" applyBorder="1" applyAlignment="1" applyProtection="1">
      <alignment horizontal="left" vertical="center" wrapText="1" indent="1"/>
    </xf>
    <xf numFmtId="3" fontId="21" fillId="0" borderId="4" xfId="1" applyNumberFormat="1" applyFont="1" applyFill="1" applyBorder="1" applyAlignment="1" applyProtection="1">
      <alignment horizontal="center" vertical="top" wrapText="1"/>
    </xf>
    <xf numFmtId="164" fontId="17" fillId="0" borderId="4" xfId="1" applyNumberFormat="1" applyFont="1" applyFill="1" applyBorder="1" applyAlignment="1" applyProtection="1">
      <alignment horizontal="center" vertical="top" wrapText="1"/>
    </xf>
    <xf numFmtId="0" fontId="19" fillId="0" borderId="4" xfId="1" applyFont="1" applyFill="1" applyBorder="1" applyAlignment="1" applyProtection="1">
      <alignment vertical="top" wrapText="1"/>
    </xf>
    <xf numFmtId="0" fontId="17" fillId="0" borderId="13" xfId="1" applyFont="1" applyFill="1" applyBorder="1" applyAlignment="1" applyProtection="1">
      <alignment vertical="top" wrapText="1"/>
    </xf>
    <xf numFmtId="164" fontId="21" fillId="0" borderId="4" xfId="1" applyNumberFormat="1" applyFont="1" applyFill="1" applyBorder="1" applyAlignment="1" applyProtection="1">
      <alignment horizontal="center" vertical="top" wrapText="1"/>
    </xf>
    <xf numFmtId="165" fontId="21" fillId="0" borderId="4" xfId="1" applyNumberFormat="1" applyFont="1" applyFill="1" applyBorder="1" applyAlignment="1" applyProtection="1">
      <alignment horizontal="center" vertical="top" wrapText="1"/>
    </xf>
    <xf numFmtId="164" fontId="22" fillId="0" borderId="4" xfId="1" applyNumberFormat="1" applyFont="1" applyFill="1" applyBorder="1" applyAlignment="1" applyProtection="1">
      <alignment horizontal="center" vertical="top" wrapText="1"/>
    </xf>
    <xf numFmtId="0" fontId="6" fillId="0" borderId="23" xfId="1" applyFont="1" applyFill="1" applyBorder="1" applyAlignment="1" applyProtection="1">
      <alignment horizontal="left" vertical="center" wrapText="1" indent="2"/>
    </xf>
    <xf numFmtId="43" fontId="18" fillId="0" borderId="29" xfId="1" applyNumberFormat="1" applyFont="1" applyFill="1" applyBorder="1" applyAlignment="1" applyProtection="1">
      <alignment horizontal="center" vertical="top" wrapText="1"/>
    </xf>
    <xf numFmtId="0" fontId="45" fillId="0" borderId="29" xfId="0" applyFont="1" applyBorder="1"/>
    <xf numFmtId="0" fontId="46" fillId="0" borderId="29" xfId="0" applyFont="1" applyBorder="1"/>
    <xf numFmtId="0" fontId="30" fillId="0" borderId="29" xfId="0" applyFont="1" applyBorder="1"/>
    <xf numFmtId="0" fontId="30" fillId="0" borderId="30" xfId="0" applyFont="1" applyBorder="1"/>
    <xf numFmtId="0" fontId="17" fillId="0" borderId="27" xfId="1" applyFont="1" applyFill="1" applyBorder="1" applyAlignment="1" applyProtection="1">
      <alignment horizontal="left" vertical="top" wrapText="1" indent="2"/>
    </xf>
    <xf numFmtId="10" fontId="6" fillId="4" borderId="29" xfId="1" applyNumberFormat="1" applyFont="1" applyFill="1" applyBorder="1" applyAlignment="1" applyProtection="1">
      <alignment horizontal="center" vertical="top" wrapText="1"/>
    </xf>
    <xf numFmtId="3" fontId="21" fillId="0" borderId="30" xfId="1" applyNumberFormat="1" applyFont="1" applyFill="1" applyBorder="1" applyAlignment="1" applyProtection="1">
      <alignment vertical="top" wrapText="1"/>
    </xf>
    <xf numFmtId="3" fontId="20" fillId="0" borderId="30" xfId="1" applyNumberFormat="1" applyFont="1" applyFill="1" applyBorder="1" applyAlignment="1" applyProtection="1">
      <alignment vertical="top" wrapText="1"/>
    </xf>
    <xf numFmtId="0" fontId="6" fillId="0" borderId="37" xfId="1" applyFont="1" applyFill="1" applyBorder="1" applyAlignment="1" applyProtection="1">
      <alignment horizontal="center" vertical="center" wrapText="1"/>
    </xf>
    <xf numFmtId="0" fontId="1" fillId="0" borderId="27" xfId="1" applyBorder="1"/>
    <xf numFmtId="3" fontId="12" fillId="0" borderId="23" xfId="1" applyNumberFormat="1" applyFont="1" applyFill="1" applyBorder="1" applyAlignment="1" applyProtection="1">
      <alignment horizontal="center" vertical="center" wrapText="1"/>
    </xf>
    <xf numFmtId="165" fontId="12" fillId="0" borderId="23" xfId="1" applyNumberFormat="1" applyFont="1" applyFill="1" applyBorder="1" applyAlignment="1" applyProtection="1">
      <alignment horizontal="center" vertical="center" wrapText="1"/>
    </xf>
    <xf numFmtId="0" fontId="4" fillId="0" borderId="26" xfId="1" applyFont="1" applyFill="1" applyBorder="1" applyAlignment="1" applyProtection="1">
      <alignment vertical="top" wrapText="1"/>
    </xf>
    <xf numFmtId="0" fontId="6" fillId="3" borderId="23" xfId="1" applyFont="1" applyFill="1" applyBorder="1" applyAlignment="1">
      <alignment horizontal="left" vertical="top" wrapText="1" indent="1"/>
    </xf>
    <xf numFmtId="0" fontId="4" fillId="0" borderId="23" xfId="1" applyFont="1" applyBorder="1" applyAlignment="1">
      <alignment horizontal="center" vertical="top" wrapText="1"/>
    </xf>
    <xf numFmtId="164" fontId="6" fillId="0" borderId="23" xfId="1" applyNumberFormat="1" applyFont="1" applyBorder="1" applyAlignment="1">
      <alignment horizontal="center" vertical="center" wrapText="1"/>
    </xf>
    <xf numFmtId="49" fontId="25" fillId="0" borderId="23" xfId="0" applyNumberFormat="1" applyFont="1" applyBorder="1" applyAlignment="1">
      <alignment horizontal="left" indent="2"/>
    </xf>
    <xf numFmtId="166" fontId="25" fillId="0" borderId="23" xfId="0" applyNumberFormat="1" applyFont="1" applyBorder="1" applyAlignment="1">
      <alignment horizontal="center" vertical="center"/>
    </xf>
    <xf numFmtId="0" fontId="8" fillId="0" borderId="4" xfId="1" applyFont="1" applyBorder="1" applyAlignment="1">
      <alignment horizontal="left" vertical="center" wrapText="1" indent="1"/>
    </xf>
    <xf numFmtId="0" fontId="6" fillId="0" borderId="4" xfId="1" applyFont="1" applyBorder="1" applyAlignment="1">
      <alignment horizontal="center" vertical="top" wrapText="1"/>
    </xf>
    <xf numFmtId="0" fontId="12" fillId="0" borderId="4" xfId="1" applyFont="1" applyBorder="1" applyAlignment="1">
      <alignment horizontal="center" vertical="top" wrapText="1"/>
    </xf>
    <xf numFmtId="0" fontId="8" fillId="0" borderId="27" xfId="1" applyFont="1" applyFill="1" applyBorder="1" applyAlignment="1" applyProtection="1">
      <alignment horizontal="left" vertical="center" wrapText="1" indent="1"/>
    </xf>
    <xf numFmtId="166" fontId="4" fillId="0" borderId="4" xfId="1" applyNumberFormat="1" applyFont="1" applyFill="1" applyBorder="1" applyAlignment="1" applyProtection="1">
      <alignment horizontal="center" vertical="top" wrapText="1"/>
    </xf>
    <xf numFmtId="4" fontId="4" fillId="0" borderId="4" xfId="1" applyNumberFormat="1" applyFont="1" applyFill="1" applyBorder="1" applyAlignment="1" applyProtection="1">
      <alignment horizontal="center" vertical="top" wrapText="1"/>
    </xf>
    <xf numFmtId="0" fontId="7" fillId="0" borderId="4" xfId="1" applyFont="1" applyFill="1" applyBorder="1" applyAlignment="1" applyProtection="1">
      <alignment horizontal="left" vertical="top" wrapText="1"/>
    </xf>
    <xf numFmtId="0" fontId="10" fillId="0" borderId="13" xfId="1" applyFont="1" applyFill="1" applyBorder="1" applyAlignment="1" applyProtection="1">
      <alignment vertical="top" wrapText="1"/>
    </xf>
    <xf numFmtId="0" fontId="6" fillId="0" borderId="23" xfId="1" applyFont="1" applyBorder="1" applyAlignment="1">
      <alignment horizontal="left" vertical="top" wrapText="1" indent="2"/>
    </xf>
    <xf numFmtId="165" fontId="14" fillId="0" borderId="23" xfId="1" applyNumberFormat="1" applyFont="1" applyFill="1" applyBorder="1" applyAlignment="1" applyProtection="1">
      <alignment horizontal="center" vertical="top" wrapText="1"/>
    </xf>
    <xf numFmtId="0" fontId="6" fillId="0" borderId="17" xfId="0" applyFont="1" applyBorder="1" applyAlignment="1">
      <alignment horizontal="center" vertical="top" wrapText="1"/>
    </xf>
    <xf numFmtId="0" fontId="8" fillId="0" borderId="4" xfId="1" applyFont="1" applyFill="1" applyBorder="1" applyAlignment="1" applyProtection="1">
      <alignment horizontal="left" vertical="top" wrapText="1"/>
    </xf>
    <xf numFmtId="0" fontId="6" fillId="0" borderId="23" xfId="1" applyFont="1" applyBorder="1" applyAlignment="1">
      <alignment horizontal="left" vertical="top" wrapText="1" indent="1"/>
    </xf>
    <xf numFmtId="0" fontId="6" fillId="0" borderId="29" xfId="1" applyFont="1" applyFill="1" applyBorder="1" applyAlignment="1" applyProtection="1">
      <alignment horizontal="left" vertical="top" wrapText="1" indent="1"/>
    </xf>
    <xf numFmtId="164" fontId="49" fillId="0" borderId="29" xfId="1" applyNumberFormat="1" applyFont="1" applyFill="1" applyBorder="1" applyAlignment="1" applyProtection="1">
      <alignment horizontal="center" vertical="top" wrapText="1"/>
    </xf>
    <xf numFmtId="164" fontId="50" fillId="0" borderId="29" xfId="1" applyNumberFormat="1" applyFont="1" applyFill="1" applyBorder="1" applyAlignment="1" applyProtection="1">
      <alignment horizontal="center" vertical="top" wrapText="1"/>
    </xf>
    <xf numFmtId="0" fontId="51" fillId="4" borderId="29" xfId="1" applyFont="1" applyFill="1" applyBorder="1" applyAlignment="1" applyProtection="1">
      <alignment horizontal="center" vertical="center" wrapText="1"/>
    </xf>
    <xf numFmtId="0" fontId="51" fillId="4" borderId="30" xfId="1" applyFont="1" applyFill="1" applyBorder="1" applyAlignment="1" applyProtection="1">
      <alignment horizontal="center" vertical="center" wrapText="1"/>
    </xf>
    <xf numFmtId="3" fontId="51" fillId="4" borderId="29" xfId="1" applyNumberFormat="1" applyFont="1" applyFill="1" applyBorder="1" applyAlignment="1" applyProtection="1">
      <alignment horizontal="center" vertical="center" wrapText="1"/>
    </xf>
    <xf numFmtId="3" fontId="51" fillId="4" borderId="30" xfId="1" applyNumberFormat="1" applyFont="1" applyFill="1" applyBorder="1" applyAlignment="1" applyProtection="1">
      <alignment horizontal="center" vertical="center" wrapText="1"/>
    </xf>
    <xf numFmtId="0" fontId="6" fillId="0" borderId="28" xfId="1" applyFont="1" applyFill="1" applyBorder="1" applyAlignment="1" applyProtection="1">
      <alignment horizontal="center" vertical="center" wrapText="1"/>
    </xf>
    <xf numFmtId="0" fontId="21" fillId="0" borderId="4" xfId="1" applyFont="1" applyFill="1" applyBorder="1" applyAlignment="1" applyProtection="1">
      <alignment horizontal="left" vertical="top" wrapText="1" indent="2"/>
    </xf>
    <xf numFmtId="170" fontId="18" fillId="0" borderId="4" xfId="1" applyNumberFormat="1" applyFont="1" applyFill="1" applyBorder="1" applyAlignment="1" applyProtection="1">
      <alignment horizontal="center" vertical="top" wrapText="1"/>
    </xf>
    <xf numFmtId="164" fontId="4" fillId="0" borderId="4" xfId="0" applyNumberFormat="1" applyFont="1" applyFill="1" applyBorder="1" applyAlignment="1" applyProtection="1">
      <alignment horizontal="center" vertical="top" wrapText="1"/>
    </xf>
    <xf numFmtId="164" fontId="18" fillId="0" borderId="4" xfId="0" applyNumberFormat="1" applyFont="1" applyFill="1" applyBorder="1" applyAlignment="1" applyProtection="1">
      <alignment horizontal="center" vertical="top" wrapText="1"/>
    </xf>
    <xf numFmtId="165" fontId="22" fillId="0" borderId="38" xfId="1" applyNumberFormat="1" applyFont="1" applyFill="1" applyBorder="1" applyAlignment="1" applyProtection="1">
      <alignment horizontal="center" vertical="top" wrapText="1"/>
    </xf>
    <xf numFmtId="165" fontId="22" fillId="0" borderId="39" xfId="1" applyNumberFormat="1" applyFont="1" applyFill="1" applyBorder="1" applyAlignment="1" applyProtection="1">
      <alignment horizontal="center" vertical="top" wrapText="1"/>
    </xf>
    <xf numFmtId="0" fontId="25" fillId="0" borderId="1" xfId="0" applyFont="1" applyBorder="1" applyAlignment="1">
      <alignment horizontal="center" vertical="center" wrapText="1"/>
    </xf>
    <xf numFmtId="0" fontId="25" fillId="0" borderId="29" xfId="0" applyFont="1" applyBorder="1" applyAlignment="1">
      <alignment horizontal="center" vertical="center" wrapText="1"/>
    </xf>
    <xf numFmtId="0" fontId="25" fillId="0" borderId="23" xfId="0" applyFont="1" applyBorder="1" applyAlignment="1">
      <alignment horizontal="center" vertical="center" wrapText="1"/>
    </xf>
    <xf numFmtId="1" fontId="25" fillId="0" borderId="29" xfId="0" applyNumberFormat="1" applyFont="1" applyBorder="1" applyAlignment="1">
      <alignment horizontal="center" vertical="center" wrapText="1"/>
    </xf>
    <xf numFmtId="1" fontId="53" fillId="0" borderId="29" xfId="0" applyNumberFormat="1" applyFont="1" applyBorder="1" applyAlignment="1">
      <alignment horizontal="center" vertical="center" wrapText="1"/>
    </xf>
    <xf numFmtId="1" fontId="25" fillId="0" borderId="23" xfId="0" applyNumberFormat="1" applyFont="1" applyBorder="1" applyAlignment="1">
      <alignment horizontal="center" vertical="center" wrapText="1"/>
    </xf>
    <xf numFmtId="1" fontId="53" fillId="0" borderId="23" xfId="0" applyNumberFormat="1" applyFont="1" applyBorder="1" applyAlignment="1">
      <alignment horizontal="center" vertical="center" wrapText="1"/>
    </xf>
    <xf numFmtId="0" fontId="18" fillId="4" borderId="29" xfId="1" applyFont="1" applyFill="1" applyBorder="1" applyAlignment="1" applyProtection="1">
      <alignment horizontal="left" vertical="top" wrapText="1" indent="3"/>
    </xf>
    <xf numFmtId="165" fontId="25" fillId="0" borderId="29" xfId="0" applyNumberFormat="1" applyFont="1" applyBorder="1" applyAlignment="1">
      <alignment horizontal="center" vertical="center"/>
    </xf>
    <xf numFmtId="0" fontId="54" fillId="4" borderId="29" xfId="0" applyFont="1" applyFill="1" applyBorder="1" applyAlignment="1">
      <alignment horizontal="center" vertical="center"/>
    </xf>
    <xf numFmtId="0" fontId="54" fillId="4" borderId="30" xfId="0" applyFont="1" applyFill="1" applyBorder="1" applyAlignment="1">
      <alignment horizontal="center" vertical="center"/>
    </xf>
    <xf numFmtId="166" fontId="6" fillId="0" borderId="29" xfId="0" applyNumberFormat="1" applyFont="1" applyFill="1" applyBorder="1" applyAlignment="1" applyProtection="1">
      <alignment horizontal="center" vertical="center" wrapText="1"/>
    </xf>
    <xf numFmtId="166" fontId="6" fillId="0" borderId="29" xfId="2" applyNumberFormat="1" applyFont="1" applyFill="1" applyBorder="1" applyAlignment="1" applyProtection="1">
      <alignment horizontal="center" vertical="center" wrapText="1"/>
    </xf>
    <xf numFmtId="166" fontId="6" fillId="0" borderId="23" xfId="0" applyNumberFormat="1" applyFont="1" applyFill="1" applyBorder="1" applyAlignment="1" applyProtection="1">
      <alignment horizontal="center" vertical="center" wrapText="1"/>
    </xf>
    <xf numFmtId="0" fontId="25" fillId="0" borderId="0" xfId="0" applyFont="1" applyAlignment="1">
      <alignment wrapText="1"/>
    </xf>
    <xf numFmtId="0" fontId="30" fillId="4" borderId="29" xfId="0" applyFont="1" applyFill="1" applyBorder="1" applyAlignment="1">
      <alignment horizontal="center" vertical="center"/>
    </xf>
    <xf numFmtId="164" fontId="4" fillId="0" borderId="29" xfId="0" applyNumberFormat="1" applyFont="1" applyFill="1" applyBorder="1" applyAlignment="1" applyProtection="1">
      <alignment horizontal="center" vertical="top" wrapText="1"/>
    </xf>
    <xf numFmtId="3" fontId="4" fillId="0" borderId="29" xfId="0" applyNumberFormat="1" applyFont="1" applyFill="1" applyBorder="1" applyAlignment="1" applyProtection="1">
      <alignment horizontal="center" vertical="top" wrapText="1"/>
    </xf>
    <xf numFmtId="0" fontId="6" fillId="0" borderId="29" xfId="1" applyFont="1" applyFill="1" applyBorder="1" applyAlignment="1" applyProtection="1">
      <alignment horizontal="center" vertical="center" wrapText="1"/>
    </xf>
    <xf numFmtId="0" fontId="4" fillId="0" borderId="29" xfId="1" applyFont="1" applyFill="1" applyBorder="1" applyAlignment="1" applyProtection="1">
      <alignment horizontal="center" vertical="center" wrapText="1"/>
    </xf>
    <xf numFmtId="43" fontId="22" fillId="0" borderId="29" xfId="1" applyNumberFormat="1" applyFont="1" applyFill="1" applyBorder="1" applyAlignment="1" applyProtection="1">
      <alignment horizontal="center" vertical="top" wrapText="1"/>
    </xf>
    <xf numFmtId="43" fontId="22" fillId="0" borderId="1" xfId="1" applyNumberFormat="1" applyFont="1" applyFill="1" applyBorder="1" applyAlignment="1" applyProtection="1">
      <alignment horizontal="center" vertical="top" wrapText="1"/>
    </xf>
    <xf numFmtId="164" fontId="50" fillId="0" borderId="29" xfId="0" applyNumberFormat="1" applyFont="1" applyFill="1" applyBorder="1" applyAlignment="1" applyProtection="1">
      <alignment horizontal="center" vertical="top" wrapText="1"/>
    </xf>
    <xf numFmtId="2" fontId="21" fillId="0" borderId="29" xfId="1" applyNumberFormat="1" applyFont="1" applyFill="1" applyBorder="1" applyAlignment="1" applyProtection="1">
      <alignment horizontal="center" vertical="top" wrapText="1"/>
    </xf>
    <xf numFmtId="2" fontId="22" fillId="0" borderId="29" xfId="1" applyNumberFormat="1" applyFont="1" applyFill="1" applyBorder="1" applyAlignment="1" applyProtection="1">
      <alignment horizontal="center" vertical="top" wrapText="1"/>
    </xf>
    <xf numFmtId="43" fontId="21" fillId="0" borderId="29" xfId="1" applyNumberFormat="1" applyFont="1" applyFill="1" applyBorder="1" applyAlignment="1" applyProtection="1">
      <alignment horizontal="center" vertical="top" wrapText="1"/>
    </xf>
    <xf numFmtId="164" fontId="52" fillId="0" borderId="29" xfId="0" applyNumberFormat="1" applyFont="1" applyFill="1" applyBorder="1" applyAlignment="1" applyProtection="1">
      <alignment horizontal="center" vertical="top" wrapText="1"/>
    </xf>
    <xf numFmtId="43" fontId="22" fillId="0" borderId="29" xfId="2" applyNumberFormat="1" applyFont="1" applyFill="1" applyBorder="1" applyAlignment="1" applyProtection="1">
      <alignment horizontal="center" vertical="center" wrapText="1"/>
    </xf>
    <xf numFmtId="43" fontId="18" fillId="0" borderId="29" xfId="1" applyNumberFormat="1" applyFont="1" applyFill="1" applyBorder="1" applyAlignment="1" applyProtection="1">
      <alignment horizontal="center" vertical="center" wrapText="1"/>
    </xf>
    <xf numFmtId="43" fontId="4" fillId="0" borderId="29" xfId="0" applyNumberFormat="1" applyFont="1" applyFill="1" applyBorder="1" applyAlignment="1" applyProtection="1">
      <alignment horizontal="center" vertical="center" wrapText="1"/>
    </xf>
    <xf numFmtId="170" fontId="4" fillId="0" borderId="29" xfId="0" applyNumberFormat="1" applyFont="1" applyFill="1" applyBorder="1" applyAlignment="1" applyProtection="1">
      <alignment horizontal="center" vertical="top" wrapText="1"/>
    </xf>
    <xf numFmtId="170" fontId="21" fillId="0" borderId="29" xfId="1" applyNumberFormat="1" applyFont="1" applyFill="1" applyBorder="1" applyAlignment="1" applyProtection="1">
      <alignment horizontal="center" vertical="center" wrapText="1"/>
    </xf>
    <xf numFmtId="170" fontId="4" fillId="0" borderId="29" xfId="0" applyNumberFormat="1" applyFont="1" applyFill="1" applyBorder="1" applyAlignment="1" applyProtection="1">
      <alignment horizontal="center" vertical="center" wrapText="1"/>
    </xf>
    <xf numFmtId="170" fontId="4" fillId="0" borderId="5" xfId="0" applyNumberFormat="1" applyFont="1" applyFill="1" applyBorder="1" applyAlignment="1" applyProtection="1">
      <alignment horizontal="left" vertical="center" wrapText="1" indent="2"/>
    </xf>
    <xf numFmtId="3" fontId="4" fillId="0" borderId="2" xfId="0" applyNumberFormat="1" applyFont="1" applyFill="1" applyBorder="1" applyAlignment="1" applyProtection="1">
      <alignment horizontal="center" vertical="top" wrapText="1"/>
    </xf>
    <xf numFmtId="43" fontId="21" fillId="0" borderId="29" xfId="0" applyNumberFormat="1" applyFont="1" applyFill="1" applyBorder="1" applyAlignment="1">
      <alignment horizontal="center" vertical="center"/>
    </xf>
    <xf numFmtId="43" fontId="22" fillId="0" borderId="29" xfId="0" applyNumberFormat="1" applyFont="1" applyFill="1" applyBorder="1" applyAlignment="1">
      <alignment horizontal="center" vertical="center"/>
    </xf>
    <xf numFmtId="43" fontId="21" fillId="0" borderId="29" xfId="0" applyNumberFormat="1" applyFont="1" applyFill="1" applyBorder="1"/>
    <xf numFmtId="43" fontId="22" fillId="0" borderId="29" xfId="0" applyNumberFormat="1" applyFont="1" applyFill="1" applyBorder="1"/>
    <xf numFmtId="170" fontId="4" fillId="0" borderId="23" xfId="1" applyNumberFormat="1" applyFont="1" applyFill="1" applyBorder="1" applyAlignment="1" applyProtection="1">
      <alignment horizontal="center" vertical="top" wrapText="1"/>
    </xf>
    <xf numFmtId="0" fontId="6" fillId="0" borderId="40" xfId="1" applyFont="1" applyFill="1" applyBorder="1" applyAlignment="1" applyProtection="1">
      <alignment horizontal="center" vertical="center" wrapText="1"/>
    </xf>
    <xf numFmtId="3" fontId="11" fillId="0" borderId="21" xfId="1" applyNumberFormat="1" applyFont="1" applyFill="1" applyBorder="1" applyAlignment="1" applyProtection="1">
      <alignment vertical="top" wrapText="1"/>
    </xf>
    <xf numFmtId="3" fontId="19" fillId="0" borderId="41" xfId="1" applyNumberFormat="1" applyFont="1" applyFill="1" applyBorder="1" applyAlignment="1" applyProtection="1">
      <alignment vertical="top" wrapText="1"/>
    </xf>
    <xf numFmtId="3" fontId="11" fillId="0" borderId="41" xfId="1" applyNumberFormat="1" applyFont="1" applyFill="1" applyBorder="1" applyAlignment="1" applyProtection="1">
      <alignment vertical="top" wrapText="1"/>
    </xf>
    <xf numFmtId="3" fontId="11" fillId="0" borderId="42" xfId="1" applyNumberFormat="1" applyFont="1" applyFill="1" applyBorder="1" applyAlignment="1" applyProtection="1">
      <alignment vertical="top" wrapText="1"/>
    </xf>
    <xf numFmtId="0" fontId="11" fillId="0" borderId="21" xfId="1" applyFont="1" applyFill="1" applyBorder="1" applyAlignment="1" applyProtection="1">
      <alignment vertical="top" wrapText="1"/>
    </xf>
    <xf numFmtId="0" fontId="19" fillId="0" borderId="41" xfId="1" applyFont="1" applyFill="1" applyBorder="1" applyAlignment="1" applyProtection="1">
      <alignment vertical="top" wrapText="1"/>
    </xf>
    <xf numFmtId="0" fontId="11" fillId="0" borderId="41" xfId="1" applyFont="1" applyFill="1" applyBorder="1" applyAlignment="1" applyProtection="1">
      <alignment vertical="top" wrapText="1"/>
    </xf>
    <xf numFmtId="0" fontId="11" fillId="0" borderId="42" xfId="1" applyFont="1" applyFill="1" applyBorder="1" applyAlignment="1" applyProtection="1">
      <alignment vertical="top" wrapText="1"/>
    </xf>
    <xf numFmtId="0" fontId="11" fillId="0" borderId="43" xfId="1" applyFont="1" applyFill="1" applyBorder="1" applyAlignment="1" applyProtection="1">
      <alignment vertical="top" wrapText="1"/>
    </xf>
    <xf numFmtId="167" fontId="19" fillId="0" borderId="41" xfId="3" applyNumberFormat="1" applyFont="1" applyFill="1" applyBorder="1" applyAlignment="1" applyProtection="1">
      <alignment vertical="top" wrapText="1"/>
    </xf>
    <xf numFmtId="167" fontId="11" fillId="0" borderId="41" xfId="3" applyNumberFormat="1" applyFont="1" applyFill="1" applyBorder="1" applyAlignment="1" applyProtection="1">
      <alignment vertical="top" wrapText="1"/>
    </xf>
    <xf numFmtId="4" fontId="6" fillId="0" borderId="23" xfId="1" applyNumberFormat="1" applyFont="1" applyFill="1" applyBorder="1" applyAlignment="1" applyProtection="1">
      <alignment horizontal="center" vertical="top" wrapText="1"/>
    </xf>
    <xf numFmtId="0" fontId="12" fillId="0" borderId="23" xfId="1" applyFont="1" applyBorder="1" applyAlignment="1">
      <alignment horizontal="center" vertical="top" wrapText="1"/>
    </xf>
    <xf numFmtId="0" fontId="32" fillId="4" borderId="1" xfId="0" applyFont="1" applyFill="1" applyBorder="1" applyAlignment="1">
      <alignment horizontal="left" indent="1"/>
    </xf>
    <xf numFmtId="0" fontId="6" fillId="0" borderId="29" xfId="0" applyFont="1" applyBorder="1" applyAlignment="1">
      <alignment horizontal="center" vertical="center" wrapText="1"/>
    </xf>
    <xf numFmtId="0" fontId="25" fillId="4" borderId="1" xfId="0" applyFont="1" applyFill="1" applyBorder="1" applyAlignment="1">
      <alignment horizontal="center" vertical="center"/>
    </xf>
    <xf numFmtId="165" fontId="25" fillId="0" borderId="38" xfId="0" applyNumberFormat="1" applyFont="1" applyBorder="1" applyAlignment="1">
      <alignment horizontal="center" vertical="center"/>
    </xf>
    <xf numFmtId="170" fontId="6" fillId="0" borderId="29" xfId="0" applyNumberFormat="1" applyFont="1" applyFill="1" applyBorder="1" applyAlignment="1" applyProtection="1">
      <alignment horizontal="center" vertical="center" wrapText="1"/>
    </xf>
    <xf numFmtId="170" fontId="6" fillId="0" borderId="29" xfId="1" applyNumberFormat="1" applyFont="1" applyFill="1" applyBorder="1" applyAlignment="1" applyProtection="1">
      <alignment horizontal="center" vertical="center" wrapText="1"/>
    </xf>
    <xf numFmtId="170" fontId="6" fillId="0" borderId="29" xfId="2" applyNumberFormat="1" applyFont="1" applyFill="1" applyBorder="1" applyAlignment="1" applyProtection="1">
      <alignment horizontal="center" vertical="center" wrapText="1"/>
    </xf>
    <xf numFmtId="0" fontId="17" fillId="4" borderId="29" xfId="1" applyFont="1" applyFill="1" applyBorder="1" applyAlignment="1" applyProtection="1">
      <alignment horizontal="center" vertical="center" wrapText="1"/>
    </xf>
    <xf numFmtId="0" fontId="17" fillId="4" borderId="30" xfId="1" applyFont="1" applyFill="1" applyBorder="1" applyAlignment="1" applyProtection="1">
      <alignment horizontal="center" vertical="center" wrapText="1"/>
    </xf>
    <xf numFmtId="3" fontId="18" fillId="4" borderId="1" xfId="1" applyNumberFormat="1" applyFont="1" applyFill="1" applyBorder="1" applyAlignment="1" applyProtection="1">
      <alignment horizontal="center" vertical="top" wrapText="1"/>
    </xf>
    <xf numFmtId="164" fontId="18" fillId="4" borderId="1" xfId="1" applyNumberFormat="1" applyFont="1" applyFill="1" applyBorder="1" applyAlignment="1" applyProtection="1">
      <alignment horizontal="center" vertical="top" wrapText="1"/>
    </xf>
    <xf numFmtId="10" fontId="17" fillId="4" borderId="1" xfId="1" applyNumberFormat="1" applyFont="1" applyFill="1" applyBorder="1" applyAlignment="1" applyProtection="1">
      <alignment horizontal="center" vertical="top" wrapText="1"/>
    </xf>
    <xf numFmtId="3" fontId="19" fillId="0" borderId="1" xfId="1" applyNumberFormat="1" applyFont="1" applyFill="1" applyBorder="1" applyAlignment="1" applyProtection="1">
      <alignment vertical="top" wrapText="1"/>
    </xf>
    <xf numFmtId="3" fontId="20" fillId="0" borderId="14" xfId="1" applyNumberFormat="1" applyFont="1" applyFill="1" applyBorder="1" applyAlignment="1" applyProtection="1">
      <alignment vertical="top" wrapText="1"/>
    </xf>
    <xf numFmtId="0" fontId="6" fillId="0" borderId="41" xfId="1" applyFont="1" applyFill="1" applyBorder="1" applyAlignment="1" applyProtection="1">
      <alignment horizontal="left" vertical="top" wrapText="1" indent="1"/>
    </xf>
    <xf numFmtId="0" fontId="25" fillId="0" borderId="41" xfId="0" applyFont="1" applyBorder="1" applyAlignment="1">
      <alignment horizontal="left" wrapText="1" indent="1"/>
    </xf>
    <xf numFmtId="0" fontId="26" fillId="0" borderId="41" xfId="0" applyFont="1" applyBorder="1" applyAlignment="1">
      <alignment horizontal="left" vertical="center" wrapText="1" indent="1"/>
    </xf>
    <xf numFmtId="0" fontId="25" fillId="0" borderId="41" xfId="0" applyFont="1" applyBorder="1" applyAlignment="1">
      <alignment horizontal="left" vertical="center" wrapText="1" indent="1"/>
    </xf>
    <xf numFmtId="0" fontId="6" fillId="0" borderId="42" xfId="1" applyFont="1" applyFill="1" applyBorder="1" applyAlignment="1" applyProtection="1">
      <alignment horizontal="left" vertical="top" wrapText="1" indent="1"/>
    </xf>
    <xf numFmtId="0" fontId="25" fillId="0" borderId="47" xfId="0" applyFont="1" applyBorder="1" applyAlignment="1">
      <alignment horizontal="center" vertical="center" wrapText="1"/>
    </xf>
    <xf numFmtId="0" fontId="25" fillId="0" borderId="48" xfId="0" applyFont="1" applyBorder="1" applyAlignment="1">
      <alignment horizontal="center" vertical="center" wrapText="1"/>
    </xf>
    <xf numFmtId="0" fontId="26" fillId="0" borderId="48" xfId="0" applyFont="1" applyBorder="1" applyAlignment="1">
      <alignment horizontal="center" vertical="center" wrapText="1"/>
    </xf>
    <xf numFmtId="0" fontId="25" fillId="0" borderId="49" xfId="0" applyFont="1" applyBorder="1" applyAlignment="1">
      <alignment horizontal="center" vertical="center" wrapText="1"/>
    </xf>
    <xf numFmtId="0" fontId="25" fillId="0" borderId="50" xfId="0" applyFont="1" applyBorder="1" applyAlignment="1">
      <alignment horizontal="center" vertical="center" wrapText="1"/>
    </xf>
    <xf numFmtId="165" fontId="6" fillId="0" borderId="38" xfId="1" applyNumberFormat="1" applyFont="1" applyFill="1" applyBorder="1" applyAlignment="1" applyProtection="1">
      <alignment horizontal="center" vertical="center" wrapText="1"/>
    </xf>
    <xf numFmtId="165" fontId="6" fillId="0" borderId="1" xfId="1" applyNumberFormat="1" applyFont="1" applyFill="1" applyBorder="1" applyAlignment="1" applyProtection="1">
      <alignment horizontal="center" vertical="center" wrapText="1"/>
    </xf>
    <xf numFmtId="170" fontId="18" fillId="0" borderId="4" xfId="1" applyNumberFormat="1" applyFont="1" applyFill="1" applyBorder="1" applyAlignment="1" applyProtection="1">
      <alignment vertical="center" wrapText="1"/>
    </xf>
    <xf numFmtId="170" fontId="22" fillId="0" borderId="29" xfId="1" applyNumberFormat="1" applyFont="1" applyFill="1" applyBorder="1" applyAlignment="1" applyProtection="1">
      <alignment vertical="center" wrapText="1"/>
    </xf>
    <xf numFmtId="0" fontId="25" fillId="0" borderId="0" xfId="0" applyFont="1" applyAlignment="1">
      <alignment horizontal="left" vertical="center" wrapText="1"/>
    </xf>
    <xf numFmtId="0" fontId="25" fillId="0" borderId="29" xfId="0" applyFont="1" applyBorder="1" applyAlignment="1">
      <alignment horizontal="left" vertical="center" wrapText="1"/>
    </xf>
    <xf numFmtId="0" fontId="25" fillId="0" borderId="41" xfId="0" applyFont="1" applyBorder="1" applyAlignment="1">
      <alignment horizontal="justify" vertical="center"/>
    </xf>
    <xf numFmtId="0" fontId="25" fillId="0" borderId="41" xfId="0" applyFont="1" applyBorder="1" applyAlignment="1">
      <alignment horizontal="justify" vertical="center" wrapText="1"/>
    </xf>
    <xf numFmtId="0" fontId="25" fillId="0" borderId="41" xfId="0" applyFont="1" applyBorder="1" applyAlignment="1">
      <alignment horizontal="left" vertical="center" wrapText="1"/>
    </xf>
    <xf numFmtId="0" fontId="25" fillId="0" borderId="41" xfId="0" applyFont="1" applyBorder="1" applyAlignment="1">
      <alignment wrapText="1"/>
    </xf>
    <xf numFmtId="0" fontId="25" fillId="0" borderId="42" xfId="0" applyFont="1" applyBorder="1" applyAlignment="1">
      <alignment horizontal="left" vertical="center" wrapText="1"/>
    </xf>
    <xf numFmtId="0" fontId="25" fillId="0" borderId="41" xfId="0" applyFont="1" applyBorder="1" applyAlignment="1">
      <alignment horizontal="center" vertical="center" wrapText="1"/>
    </xf>
    <xf numFmtId="0" fontId="25" fillId="0" borderId="42" xfId="0" applyFont="1" applyBorder="1" applyAlignment="1">
      <alignment horizontal="center" vertical="center" wrapText="1"/>
    </xf>
    <xf numFmtId="164" fontId="4" fillId="4" borderId="1" xfId="1" applyNumberFormat="1" applyFont="1" applyFill="1" applyBorder="1" applyAlignment="1" applyProtection="1">
      <alignment horizontal="center" vertical="top" wrapText="1"/>
    </xf>
    <xf numFmtId="3" fontId="4" fillId="4" borderId="1" xfId="1" applyNumberFormat="1" applyFont="1" applyFill="1" applyBorder="1" applyAlignment="1" applyProtection="1">
      <alignment horizontal="center" vertical="top" wrapText="1"/>
    </xf>
    <xf numFmtId="3" fontId="6" fillId="0" borderId="44" xfId="1" applyNumberFormat="1" applyFont="1" applyFill="1" applyBorder="1" applyAlignment="1" applyProtection="1">
      <alignment horizontal="center" vertical="center" wrapText="1"/>
    </xf>
    <xf numFmtId="3" fontId="6" fillId="0" borderId="45" xfId="1" applyNumberFormat="1" applyFont="1" applyFill="1" applyBorder="1" applyAlignment="1" applyProtection="1">
      <alignment horizontal="center" vertical="center" wrapText="1"/>
    </xf>
    <xf numFmtId="3" fontId="25" fillId="0" borderId="29" xfId="0" applyNumberFormat="1" applyFont="1" applyBorder="1" applyAlignment="1">
      <alignment horizontal="center" vertical="center" wrapText="1"/>
    </xf>
    <xf numFmtId="3" fontId="12" fillId="0" borderId="29" xfId="0" applyNumberFormat="1" applyFont="1" applyFill="1" applyBorder="1" applyAlignment="1" applyProtection="1">
      <alignment horizontal="center" vertical="center" wrapText="1"/>
    </xf>
    <xf numFmtId="3" fontId="6" fillId="0" borderId="29" xfId="0" applyNumberFormat="1" applyFont="1" applyFill="1" applyBorder="1" applyAlignment="1" applyProtection="1">
      <alignment horizontal="center" vertical="center" wrapText="1"/>
    </xf>
    <xf numFmtId="3" fontId="6" fillId="0" borderId="23" xfId="0" applyNumberFormat="1" applyFont="1" applyFill="1" applyBorder="1" applyAlignment="1" applyProtection="1">
      <alignment horizontal="center" vertical="center" wrapText="1"/>
    </xf>
    <xf numFmtId="0" fontId="6" fillId="0" borderId="23" xfId="1" applyFont="1" applyFill="1" applyBorder="1" applyAlignment="1" applyProtection="1">
      <alignment horizontal="center" vertical="center" wrapText="1"/>
    </xf>
    <xf numFmtId="165" fontId="6" fillId="0" borderId="17" xfId="0" applyNumberFormat="1" applyFont="1" applyFill="1" applyBorder="1" applyAlignment="1" applyProtection="1">
      <alignment horizontal="center" vertical="top" wrapText="1"/>
    </xf>
    <xf numFmtId="0" fontId="21" fillId="0" borderId="23" xfId="1" applyFont="1" applyFill="1" applyBorder="1" applyAlignment="1" applyProtection="1">
      <alignment horizontal="left" vertical="top" wrapText="1" indent="3"/>
    </xf>
    <xf numFmtId="3" fontId="21" fillId="0" borderId="23" xfId="1" applyNumberFormat="1" applyFont="1" applyFill="1" applyBorder="1" applyAlignment="1" applyProtection="1">
      <alignment horizontal="center" vertical="top" wrapText="1"/>
    </xf>
    <xf numFmtId="3" fontId="56" fillId="0" borderId="23" xfId="1" applyNumberFormat="1" applyFont="1" applyFill="1" applyBorder="1" applyAlignment="1" applyProtection="1">
      <alignment horizontal="center" vertical="center" wrapText="1"/>
    </xf>
    <xf numFmtId="165" fontId="56" fillId="0" borderId="23" xfId="1" applyNumberFormat="1" applyFont="1" applyFill="1" applyBorder="1" applyAlignment="1" applyProtection="1">
      <alignment horizontal="center" vertical="center" wrapText="1"/>
    </xf>
    <xf numFmtId="0" fontId="21" fillId="0" borderId="23" xfId="1" applyFont="1" applyFill="1" applyBorder="1" applyAlignment="1" applyProtection="1">
      <alignment vertical="top" wrapText="1"/>
    </xf>
    <xf numFmtId="165" fontId="21" fillId="0" borderId="17" xfId="0" applyNumberFormat="1" applyFont="1" applyFill="1" applyBorder="1" applyAlignment="1" applyProtection="1">
      <alignment horizontal="center" vertical="top" wrapText="1"/>
    </xf>
    <xf numFmtId="0" fontId="13" fillId="0" borderId="33" xfId="1" applyFont="1" applyFill="1" applyBorder="1" applyAlignment="1" applyProtection="1">
      <alignment horizontal="center" vertical="top" wrapText="1"/>
    </xf>
    <xf numFmtId="0" fontId="22" fillId="0" borderId="23" xfId="1" applyFont="1" applyFill="1" applyBorder="1" applyAlignment="1" applyProtection="1">
      <alignment horizontal="center" vertical="center" wrapText="1"/>
    </xf>
    <xf numFmtId="0" fontId="22" fillId="0" borderId="26" xfId="1" applyFont="1" applyFill="1" applyBorder="1" applyAlignment="1" applyProtection="1">
      <alignment vertical="center" wrapText="1"/>
    </xf>
    <xf numFmtId="0" fontId="21" fillId="3" borderId="23" xfId="1" applyFont="1" applyFill="1" applyBorder="1" applyAlignment="1" applyProtection="1">
      <alignment horizontal="left" vertical="center" wrapText="1" indent="2"/>
    </xf>
    <xf numFmtId="164" fontId="21" fillId="0" borderId="23" xfId="1" applyNumberFormat="1" applyFont="1" applyFill="1" applyBorder="1" applyAlignment="1" applyProtection="1">
      <alignment horizontal="center" vertical="center" wrapText="1"/>
    </xf>
    <xf numFmtId="165" fontId="21" fillId="0" borderId="23" xfId="1" applyNumberFormat="1" applyFont="1" applyFill="1" applyBorder="1" applyAlignment="1" applyProtection="1">
      <alignment horizontal="center" vertical="center" wrapText="1"/>
    </xf>
    <xf numFmtId="0" fontId="21" fillId="0" borderId="23" xfId="1" applyFont="1" applyFill="1" applyBorder="1" applyAlignment="1" applyProtection="1">
      <alignment vertical="center" wrapText="1"/>
    </xf>
    <xf numFmtId="165" fontId="21" fillId="0" borderId="23" xfId="0" applyNumberFormat="1" applyFont="1" applyFill="1" applyBorder="1" applyAlignment="1" applyProtection="1">
      <alignment horizontal="center" vertical="top" wrapText="1"/>
    </xf>
    <xf numFmtId="0" fontId="4" fillId="0" borderId="29" xfId="1" applyFont="1" applyFill="1" applyBorder="1" applyAlignment="1" applyProtection="1">
      <alignment vertical="top" wrapText="1"/>
    </xf>
    <xf numFmtId="0" fontId="4" fillId="0" borderId="30" xfId="1" applyFont="1" applyFill="1" applyBorder="1" applyAlignment="1" applyProtection="1">
      <alignment vertical="top" wrapText="1"/>
    </xf>
    <xf numFmtId="166" fontId="22" fillId="0" borderId="23" xfId="1" applyNumberFormat="1" applyFont="1" applyFill="1" applyBorder="1" applyAlignment="1" applyProtection="1">
      <alignment horizontal="center" vertical="center" wrapText="1"/>
    </xf>
    <xf numFmtId="0" fontId="22" fillId="0" borderId="26" xfId="1" applyFont="1" applyFill="1" applyBorder="1" applyAlignment="1" applyProtection="1">
      <alignment vertical="top" wrapText="1"/>
    </xf>
    <xf numFmtId="0" fontId="21" fillId="3" borderId="23" xfId="1" applyFont="1" applyFill="1" applyBorder="1" applyAlignment="1">
      <alignment horizontal="left" vertical="top" wrapText="1" indent="3"/>
    </xf>
    <xf numFmtId="0" fontId="21" fillId="0" borderId="23" xfId="1" applyFont="1" applyBorder="1" applyAlignment="1">
      <alignment horizontal="center" vertical="top" wrapText="1"/>
    </xf>
    <xf numFmtId="3" fontId="21" fillId="0" borderId="23" xfId="1" applyNumberFormat="1" applyFont="1" applyFill="1" applyBorder="1" applyAlignment="1" applyProtection="1">
      <alignment horizontal="center" vertical="center" wrapText="1"/>
    </xf>
    <xf numFmtId="0" fontId="44" fillId="0" borderId="29" xfId="1" applyFont="1" applyFill="1" applyBorder="1" applyAlignment="1" applyProtection="1">
      <alignment horizontal="left" vertical="center" wrapText="1" indent="1"/>
    </xf>
    <xf numFmtId="0" fontId="43" fillId="0" borderId="29" xfId="1" applyFont="1" applyFill="1" applyBorder="1" applyAlignment="1" applyProtection="1">
      <alignment horizontal="left" vertical="center" wrapText="1" indent="2"/>
    </xf>
    <xf numFmtId="0" fontId="21" fillId="0" borderId="23" xfId="1" applyFont="1" applyBorder="1" applyAlignment="1">
      <alignment horizontal="left" vertical="top" wrapText="1" indent="1"/>
    </xf>
    <xf numFmtId="165" fontId="21" fillId="0" borderId="23" xfId="1" applyNumberFormat="1" applyFont="1" applyFill="1" applyBorder="1" applyAlignment="1" applyProtection="1">
      <alignment horizontal="center" vertical="top" wrapText="1"/>
    </xf>
    <xf numFmtId="166" fontId="51" fillId="4" borderId="29" xfId="1" applyNumberFormat="1" applyFont="1" applyFill="1" applyBorder="1" applyAlignment="1" applyProtection="1">
      <alignment horizontal="center" vertical="center" wrapText="1"/>
    </xf>
    <xf numFmtId="0" fontId="21" fillId="0" borderId="23" xfId="1" applyFont="1" applyFill="1" applyBorder="1" applyAlignment="1" applyProtection="1">
      <alignment horizontal="left" vertical="center" wrapText="1" indent="2"/>
    </xf>
    <xf numFmtId="166" fontId="21" fillId="0" borderId="23" xfId="1" applyNumberFormat="1" applyFont="1" applyFill="1" applyBorder="1" applyAlignment="1" applyProtection="1">
      <alignment horizontal="center" vertical="center" wrapText="1"/>
    </xf>
    <xf numFmtId="0" fontId="21" fillId="0" borderId="26" xfId="1" applyFont="1" applyFill="1" applyBorder="1" applyAlignment="1" applyProtection="1">
      <alignment vertical="top" wrapText="1"/>
    </xf>
    <xf numFmtId="0" fontId="21" fillId="0" borderId="23" xfId="1" applyFont="1" applyBorder="1" applyAlignment="1">
      <alignment horizontal="justify" vertical="top" wrapText="1"/>
    </xf>
    <xf numFmtId="0" fontId="21" fillId="0" borderId="23" xfId="1" applyFont="1" applyFill="1" applyBorder="1" applyAlignment="1" applyProtection="1">
      <alignment horizontal="center" vertical="center" wrapText="1"/>
    </xf>
    <xf numFmtId="0" fontId="21" fillId="3" borderId="23" xfId="1" applyFont="1" applyFill="1" applyBorder="1" applyAlignment="1">
      <alignment horizontal="left" vertical="top" wrapText="1" indent="1"/>
    </xf>
    <xf numFmtId="164" fontId="21" fillId="0" borderId="23" xfId="1" applyNumberFormat="1" applyFont="1" applyBorder="1" applyAlignment="1">
      <alignment horizontal="center" vertical="center" wrapText="1"/>
    </xf>
    <xf numFmtId="0" fontId="4" fillId="0" borderId="23" xfId="1" applyFont="1" applyFill="1" applyBorder="1" applyAlignment="1" applyProtection="1">
      <alignment horizontal="center" vertical="center" wrapText="1"/>
    </xf>
    <xf numFmtId="0" fontId="0" fillId="0" borderId="0" xfId="0" applyFill="1"/>
    <xf numFmtId="0" fontId="25" fillId="0" borderId="29" xfId="0" applyFont="1" applyBorder="1" applyAlignment="1">
      <alignment horizontal="justify" vertical="center"/>
    </xf>
    <xf numFmtId="0" fontId="25" fillId="0" borderId="29" xfId="0" applyFont="1" applyBorder="1" applyAlignment="1">
      <alignment horizontal="justify" vertical="center" wrapText="1"/>
    </xf>
    <xf numFmtId="0" fontId="21" fillId="0" borderId="23" xfId="0" applyFont="1" applyBorder="1" applyAlignment="1">
      <alignment horizontal="left" vertical="center" wrapText="1"/>
    </xf>
    <xf numFmtId="0" fontId="21" fillId="0" borderId="23" xfId="0" applyFont="1" applyBorder="1" applyAlignment="1">
      <alignment horizontal="center" vertical="center" wrapText="1"/>
    </xf>
    <xf numFmtId="3" fontId="21" fillId="0" borderId="23" xfId="1" applyNumberFormat="1" applyFont="1" applyFill="1" applyBorder="1" applyAlignment="1" applyProtection="1">
      <alignment vertical="top" wrapText="1"/>
    </xf>
    <xf numFmtId="3" fontId="21" fillId="0" borderId="26" xfId="1" applyNumberFormat="1" applyFont="1" applyFill="1" applyBorder="1" applyAlignment="1" applyProtection="1">
      <alignment vertical="top" wrapText="1"/>
    </xf>
    <xf numFmtId="0" fontId="25" fillId="0" borderId="29" xfId="0" applyFont="1" applyBorder="1" applyAlignment="1">
      <alignment horizontal="left" wrapText="1" indent="1"/>
    </xf>
    <xf numFmtId="0" fontId="26" fillId="0" borderId="29" xfId="0" applyFont="1" applyBorder="1" applyAlignment="1">
      <alignment horizontal="center" vertical="center" wrapText="1"/>
    </xf>
    <xf numFmtId="0" fontId="26" fillId="0" borderId="29" xfId="0" applyFont="1" applyBorder="1" applyAlignment="1">
      <alignment horizontal="left" vertical="center" wrapText="1" indent="1"/>
    </xf>
    <xf numFmtId="0" fontId="25" fillId="0" borderId="29" xfId="0" applyFont="1" applyBorder="1" applyAlignment="1">
      <alignment horizontal="left" vertical="center" wrapText="1" indent="1"/>
    </xf>
    <xf numFmtId="0" fontId="21" fillId="0" borderId="23" xfId="1" applyFont="1" applyFill="1" applyBorder="1" applyAlignment="1" applyProtection="1">
      <alignment horizontal="left" vertical="top" wrapText="1" indent="1"/>
    </xf>
    <xf numFmtId="0" fontId="21" fillId="0" borderId="23" xfId="1" applyFont="1" applyBorder="1" applyAlignment="1">
      <alignment horizontal="left" vertical="top" wrapText="1" indent="3"/>
    </xf>
    <xf numFmtId="9" fontId="21" fillId="0" borderId="23" xfId="1" applyNumberFormat="1" applyFont="1" applyFill="1" applyBorder="1" applyAlignment="1" applyProtection="1">
      <alignment horizontal="center" vertical="center" wrapText="1"/>
    </xf>
    <xf numFmtId="49" fontId="25" fillId="0" borderId="29" xfId="0" applyNumberFormat="1" applyFont="1" applyBorder="1" applyAlignment="1">
      <alignment horizontal="left" indent="2"/>
    </xf>
    <xf numFmtId="166" fontId="25" fillId="0" borderId="29" xfId="0" applyNumberFormat="1" applyFont="1" applyBorder="1" applyAlignment="1">
      <alignment horizontal="center" vertical="center"/>
    </xf>
    <xf numFmtId="0" fontId="55" fillId="0" borderId="29" xfId="0" applyFont="1" applyBorder="1" applyAlignment="1">
      <alignment horizontal="center" vertical="center"/>
    </xf>
    <xf numFmtId="49" fontId="21" fillId="0" borderId="23" xfId="0" applyNumberFormat="1" applyFont="1" applyBorder="1" applyAlignment="1">
      <alignment horizontal="left" indent="2"/>
    </xf>
    <xf numFmtId="0" fontId="21" fillId="0" borderId="23" xfId="0" applyFont="1" applyBorder="1" applyAlignment="1">
      <alignment horizontal="center" vertical="center"/>
    </xf>
    <xf numFmtId="166" fontId="21" fillId="0" borderId="23" xfId="0" applyNumberFormat="1" applyFont="1" applyBorder="1" applyAlignment="1">
      <alignment horizontal="center" vertical="center"/>
    </xf>
    <xf numFmtId="0" fontId="33" fillId="0" borderId="23" xfId="0" applyFont="1" applyBorder="1"/>
    <xf numFmtId="0" fontId="33" fillId="0" borderId="23" xfId="0" applyFont="1" applyBorder="1" applyAlignment="1">
      <alignment horizontal="center" vertical="center"/>
    </xf>
    <xf numFmtId="166" fontId="56" fillId="0" borderId="23" xfId="1" applyNumberFormat="1" applyFont="1" applyFill="1" applyBorder="1" applyAlignment="1" applyProtection="1">
      <alignment horizontal="center" vertical="center" wrapText="1"/>
    </xf>
    <xf numFmtId="9" fontId="21" fillId="0" borderId="3" xfId="2" applyFont="1" applyFill="1" applyBorder="1" applyAlignment="1" applyProtection="1">
      <alignment horizontal="center" vertical="center" wrapText="1"/>
    </xf>
    <xf numFmtId="0" fontId="21" fillId="0" borderId="1" xfId="1" applyFont="1" applyFill="1" applyBorder="1" applyAlignment="1" applyProtection="1">
      <alignment horizontal="left" vertical="center" wrapText="1" indent="2"/>
    </xf>
    <xf numFmtId="3" fontId="21" fillId="0" borderId="1" xfId="1" applyNumberFormat="1" applyFont="1" applyFill="1" applyBorder="1" applyAlignment="1" applyProtection="1">
      <alignment horizontal="center" vertical="top" wrapText="1"/>
    </xf>
    <xf numFmtId="166" fontId="56" fillId="0" borderId="1" xfId="1" applyNumberFormat="1" applyFont="1" applyFill="1" applyBorder="1" applyAlignment="1" applyProtection="1">
      <alignment horizontal="center" vertical="center" wrapText="1"/>
    </xf>
    <xf numFmtId="165" fontId="21" fillId="0" borderId="1" xfId="1" applyNumberFormat="1" applyFont="1" applyFill="1" applyBorder="1" applyAlignment="1" applyProtection="1">
      <alignment horizontal="center" vertical="center" wrapText="1"/>
    </xf>
    <xf numFmtId="0" fontId="21" fillId="0" borderId="1" xfId="1" applyFont="1" applyFill="1" applyBorder="1" applyAlignment="1" applyProtection="1">
      <alignment horizontal="left" vertical="top" wrapText="1"/>
    </xf>
    <xf numFmtId="0" fontId="21" fillId="0" borderId="1" xfId="1" applyFont="1" applyFill="1" applyBorder="1" applyAlignment="1" applyProtection="1">
      <alignment vertical="top" wrapText="1"/>
    </xf>
    <xf numFmtId="0" fontId="21" fillId="0" borderId="1" xfId="1" applyFont="1" applyFill="1" applyBorder="1" applyAlignment="1" applyProtection="1">
      <alignment horizontal="center" vertical="center" wrapText="1"/>
    </xf>
    <xf numFmtId="168" fontId="21" fillId="0" borderId="23" xfId="1" applyNumberFormat="1" applyFont="1" applyFill="1" applyBorder="1" applyAlignment="1" applyProtection="1">
      <alignment horizontal="center" vertical="center" wrapText="1"/>
    </xf>
    <xf numFmtId="0" fontId="17" fillId="4" borderId="29" xfId="1" applyFont="1" applyFill="1" applyBorder="1" applyAlignment="1" applyProtection="1">
      <alignment horizontal="left" vertical="top" wrapText="1" indent="1"/>
    </xf>
    <xf numFmtId="0" fontId="21" fillId="0" borderId="23" xfId="0" applyFont="1" applyBorder="1" applyAlignment="1">
      <alignment horizontal="left" vertical="top" wrapText="1" indent="3"/>
    </xf>
    <xf numFmtId="3" fontId="21" fillId="0" borderId="23" xfId="0" applyNumberFormat="1" applyFont="1" applyFill="1" applyBorder="1" applyAlignment="1" applyProtection="1">
      <alignment horizontal="center" vertical="top" wrapText="1"/>
    </xf>
    <xf numFmtId="4" fontId="6" fillId="0" borderId="29" xfId="1" applyNumberFormat="1" applyFont="1" applyFill="1" applyBorder="1" applyAlignment="1" applyProtection="1">
      <alignment horizontal="center" vertical="top" wrapText="1"/>
    </xf>
    <xf numFmtId="2" fontId="21" fillId="0" borderId="23" xfId="1" applyNumberFormat="1" applyFont="1" applyFill="1" applyBorder="1" applyAlignment="1" applyProtection="1">
      <alignment horizontal="center" vertical="top" wrapText="1"/>
    </xf>
    <xf numFmtId="4" fontId="21" fillId="0" borderId="23" xfId="1" applyNumberFormat="1" applyFont="1" applyFill="1" applyBorder="1" applyAlignment="1" applyProtection="1">
      <alignment horizontal="center" vertical="top" wrapText="1"/>
    </xf>
    <xf numFmtId="0" fontId="8" fillId="0" borderId="27" xfId="1" applyFont="1" applyBorder="1" applyAlignment="1">
      <alignment horizontal="left" vertical="center" wrapText="1" indent="1"/>
    </xf>
    <xf numFmtId="0" fontId="6" fillId="0" borderId="27" xfId="1" applyFont="1" applyBorder="1" applyAlignment="1">
      <alignment horizontal="center" vertical="top" wrapText="1"/>
    </xf>
    <xf numFmtId="1" fontId="21" fillId="0" borderId="23" xfId="0" applyNumberFormat="1" applyFont="1" applyBorder="1" applyAlignment="1">
      <alignment horizontal="center" vertical="center" wrapText="1"/>
    </xf>
    <xf numFmtId="1" fontId="56" fillId="0" borderId="23" xfId="0" applyNumberFormat="1" applyFont="1" applyBorder="1" applyAlignment="1">
      <alignment horizontal="center" vertical="center" wrapText="1"/>
    </xf>
    <xf numFmtId="166" fontId="4" fillId="0" borderId="27" xfId="1" applyNumberFormat="1" applyFont="1" applyFill="1" applyBorder="1" applyAlignment="1" applyProtection="1">
      <alignment horizontal="center" vertical="top" wrapText="1"/>
    </xf>
    <xf numFmtId="4" fontId="4" fillId="0" borderId="27" xfId="1" applyNumberFormat="1" applyFont="1" applyFill="1" applyBorder="1" applyAlignment="1" applyProtection="1">
      <alignment horizontal="center" vertical="top" wrapText="1"/>
    </xf>
    <xf numFmtId="0" fontId="21" fillId="3" borderId="23" xfId="1" applyFont="1" applyFill="1" applyBorder="1" applyAlignment="1" applyProtection="1">
      <alignment horizontal="left" vertical="top" wrapText="1" indent="3"/>
    </xf>
    <xf numFmtId="0" fontId="21" fillId="0" borderId="23" xfId="1" applyFont="1" applyBorder="1" applyAlignment="1">
      <alignment horizontal="left" vertical="top" wrapText="1" indent="2"/>
    </xf>
    <xf numFmtId="166" fontId="6" fillId="0" borderId="3" xfId="0" applyNumberFormat="1" applyFont="1" applyFill="1" applyBorder="1" applyAlignment="1" applyProtection="1">
      <alignment horizontal="center" vertical="center" wrapText="1"/>
    </xf>
    <xf numFmtId="0" fontId="21" fillId="0" borderId="23" xfId="1" applyFont="1" applyFill="1" applyBorder="1" applyAlignment="1" applyProtection="1">
      <alignment horizontal="left" vertical="top" wrapText="1" indent="2"/>
    </xf>
    <xf numFmtId="169" fontId="21" fillId="0" borderId="23" xfId="1" applyNumberFormat="1" applyFont="1" applyFill="1" applyBorder="1" applyAlignment="1" applyProtection="1">
      <alignment horizontal="center" vertical="center" wrapText="1"/>
    </xf>
    <xf numFmtId="164" fontId="56" fillId="0" borderId="23" xfId="1" applyNumberFormat="1" applyFont="1" applyFill="1" applyBorder="1" applyAlignment="1" applyProtection="1">
      <alignment horizontal="center" vertical="center" wrapText="1"/>
    </xf>
    <xf numFmtId="10" fontId="21" fillId="0" borderId="23" xfId="0" applyNumberFormat="1" applyFont="1" applyFill="1" applyBorder="1" applyAlignment="1" applyProtection="1">
      <alignment horizontal="center" vertical="top" wrapText="1"/>
    </xf>
    <xf numFmtId="0" fontId="6" fillId="4" borderId="29" xfId="1" applyFont="1" applyFill="1" applyBorder="1" applyAlignment="1" applyProtection="1">
      <alignment horizontal="center" vertical="center" wrapText="1"/>
    </xf>
    <xf numFmtId="0" fontId="6" fillId="0" borderId="29" xfId="1" applyFont="1" applyFill="1" applyBorder="1" applyAlignment="1" applyProtection="1">
      <alignment vertical="top" wrapText="1"/>
    </xf>
    <xf numFmtId="165" fontId="21" fillId="0" borderId="23" xfId="1" applyNumberFormat="1" applyFont="1" applyFill="1" applyBorder="1" applyAlignment="1" applyProtection="1">
      <alignment vertical="top" wrapText="1"/>
    </xf>
    <xf numFmtId="0" fontId="21" fillId="0" borderId="23" xfId="1" applyFont="1" applyFill="1" applyBorder="1" applyAlignment="1" applyProtection="1">
      <alignment horizontal="left" vertical="center" wrapText="1"/>
    </xf>
    <xf numFmtId="0" fontId="21" fillId="0" borderId="23" xfId="0" applyFont="1" applyBorder="1" applyAlignment="1">
      <alignment horizontal="center" vertical="top" wrapText="1"/>
    </xf>
    <xf numFmtId="0" fontId="21" fillId="0" borderId="23" xfId="0" applyFont="1" applyBorder="1" applyAlignment="1">
      <alignment wrapText="1"/>
    </xf>
    <xf numFmtId="165" fontId="21" fillId="0" borderId="23" xfId="0" applyNumberFormat="1" applyFont="1" applyBorder="1" applyAlignment="1">
      <alignment horizontal="center" vertical="center"/>
    </xf>
    <xf numFmtId="0" fontId="33" fillId="0" borderId="26" xfId="0" applyFont="1" applyBorder="1"/>
    <xf numFmtId="0" fontId="46" fillId="4" borderId="29" xfId="0" applyFont="1" applyFill="1" applyBorder="1" applyAlignment="1">
      <alignment horizontal="center" vertical="center"/>
    </xf>
    <xf numFmtId="0" fontId="45" fillId="0" borderId="29" xfId="0" applyFont="1" applyBorder="1" applyAlignment="1">
      <alignment horizontal="center" vertical="center"/>
    </xf>
    <xf numFmtId="0" fontId="21" fillId="0" borderId="23" xfId="0" applyFont="1" applyBorder="1"/>
    <xf numFmtId="0" fontId="57" fillId="0" borderId="23" xfId="0" applyFont="1" applyBorder="1" applyAlignment="1">
      <alignment horizontal="center" vertical="center"/>
    </xf>
    <xf numFmtId="0" fontId="25" fillId="0" borderId="38" xfId="0" applyFont="1" applyBorder="1" applyAlignment="1">
      <alignment horizontal="center" vertical="center"/>
    </xf>
    <xf numFmtId="0" fontId="21" fillId="0" borderId="17" xfId="0" applyFont="1" applyBorder="1" applyAlignment="1">
      <alignment horizontal="center" vertical="center" wrapText="1"/>
    </xf>
    <xf numFmtId="0" fontId="6" fillId="0" borderId="27" xfId="1" applyFont="1" applyFill="1" applyBorder="1" applyAlignment="1" applyProtection="1">
      <alignment horizontal="center" vertical="center" wrapText="1"/>
    </xf>
    <xf numFmtId="0" fontId="6" fillId="0" borderId="1" xfId="1" applyFont="1" applyBorder="1" applyAlignment="1">
      <alignment horizontal="justify" vertical="top" wrapText="1"/>
    </xf>
    <xf numFmtId="3" fontId="6" fillId="0" borderId="1" xfId="1" applyNumberFormat="1" applyFont="1" applyFill="1" applyBorder="1" applyAlignment="1" applyProtection="1">
      <alignment horizontal="center" vertical="center" wrapText="1"/>
    </xf>
    <xf numFmtId="0" fontId="6" fillId="0" borderId="1" xfId="1" applyFont="1" applyFill="1" applyBorder="1" applyAlignment="1" applyProtection="1">
      <alignment horizontal="center" vertical="center" wrapText="1"/>
    </xf>
    <xf numFmtId="0" fontId="58" fillId="0" borderId="51" xfId="0" applyFont="1" applyBorder="1" applyAlignment="1">
      <alignment horizontal="center" vertical="center"/>
    </xf>
    <xf numFmtId="0" fontId="58" fillId="0" borderId="52" xfId="0" applyFont="1" applyFill="1" applyBorder="1" applyAlignment="1">
      <alignment horizontal="center" vertical="center"/>
    </xf>
    <xf numFmtId="165" fontId="0" fillId="0" borderId="0" xfId="0" applyNumberFormat="1"/>
    <xf numFmtId="0" fontId="58" fillId="0" borderId="0" xfId="0" applyFont="1" applyFill="1" applyBorder="1" applyAlignment="1">
      <alignment horizontal="center" vertical="center"/>
    </xf>
    <xf numFmtId="10" fontId="0" fillId="0" borderId="0" xfId="0" applyNumberFormat="1"/>
    <xf numFmtId="10" fontId="21" fillId="0" borderId="23" xfId="1" applyNumberFormat="1" applyFont="1" applyFill="1" applyBorder="1" applyAlignment="1" applyProtection="1">
      <alignment vertical="top" wrapText="1"/>
    </xf>
    <xf numFmtId="3" fontId="6" fillId="0" borderId="4" xfId="1" applyNumberFormat="1" applyFont="1" applyFill="1" applyBorder="1" applyAlignment="1" applyProtection="1">
      <alignment horizontal="center" vertical="center" wrapText="1"/>
    </xf>
    <xf numFmtId="164" fontId="6" fillId="0" borderId="4" xfId="1" applyNumberFormat="1" applyFont="1" applyFill="1" applyBorder="1" applyAlignment="1" applyProtection="1">
      <alignment horizontal="center" vertical="center" wrapText="1"/>
    </xf>
    <xf numFmtId="165" fontId="6" fillId="0" borderId="4" xfId="1" applyNumberFormat="1" applyFont="1" applyFill="1" applyBorder="1" applyAlignment="1" applyProtection="1">
      <alignment horizontal="center" vertical="center" wrapText="1"/>
    </xf>
    <xf numFmtId="165" fontId="25" fillId="0" borderId="29" xfId="0" applyNumberFormat="1" applyFont="1" applyBorder="1" applyAlignment="1">
      <alignment horizontal="center" vertical="center" wrapText="1"/>
    </xf>
    <xf numFmtId="3" fontId="26" fillId="0" borderId="38" xfId="1" applyNumberFormat="1" applyFont="1" applyFill="1" applyBorder="1" applyAlignment="1" applyProtection="1">
      <alignment horizontal="center" vertical="center" wrapText="1"/>
    </xf>
    <xf numFmtId="1" fontId="26" fillId="0" borderId="29" xfId="1" applyNumberFormat="1" applyFont="1" applyFill="1" applyBorder="1" applyAlignment="1" applyProtection="1">
      <alignment horizontal="center" vertical="center" wrapText="1"/>
    </xf>
    <xf numFmtId="3" fontId="26" fillId="0" borderId="46" xfId="1" applyNumberFormat="1" applyFont="1" applyFill="1" applyBorder="1" applyAlignment="1" applyProtection="1">
      <alignment horizontal="center" vertical="center" wrapText="1"/>
    </xf>
    <xf numFmtId="1" fontId="26" fillId="0" borderId="1" xfId="1" applyNumberFormat="1" applyFont="1" applyFill="1" applyBorder="1" applyAlignment="1" applyProtection="1">
      <alignment horizontal="center" vertical="center" wrapText="1"/>
    </xf>
    <xf numFmtId="164" fontId="26" fillId="0" borderId="29" xfId="1" applyNumberFormat="1" applyFont="1" applyFill="1" applyBorder="1" applyAlignment="1" applyProtection="1">
      <alignment horizontal="center" vertical="center" wrapText="1"/>
    </xf>
    <xf numFmtId="3" fontId="51" fillId="4" borderId="29" xfId="1" applyNumberFormat="1" applyFont="1" applyFill="1" applyBorder="1" applyAlignment="1" applyProtection="1">
      <alignment horizontal="center" vertical="top" wrapText="1"/>
    </xf>
    <xf numFmtId="9" fontId="21" fillId="0" borderId="23" xfId="1" applyNumberFormat="1" applyFont="1" applyFill="1" applyBorder="1" applyAlignment="1" applyProtection="1">
      <alignment vertical="top" wrapText="1"/>
    </xf>
    <xf numFmtId="9" fontId="21" fillId="0" borderId="23" xfId="0" applyNumberFormat="1" applyFont="1" applyBorder="1" applyAlignment="1">
      <alignment horizontal="center" vertical="center"/>
    </xf>
    <xf numFmtId="165" fontId="33" fillId="0" borderId="23" xfId="0" applyNumberFormat="1" applyFont="1" applyBorder="1" applyAlignment="1">
      <alignment horizontal="center" vertical="center"/>
    </xf>
    <xf numFmtId="166" fontId="21" fillId="0" borderId="17" xfId="1" applyNumberFormat="1" applyFont="1" applyFill="1" applyBorder="1" applyAlignment="1" applyProtection="1">
      <alignment horizontal="center" vertical="top" wrapText="1"/>
    </xf>
    <xf numFmtId="3" fontId="21" fillId="0" borderId="17" xfId="1" applyNumberFormat="1" applyFont="1" applyFill="1" applyBorder="1" applyAlignment="1" applyProtection="1">
      <alignment horizontal="center" vertical="top" wrapText="1"/>
    </xf>
    <xf numFmtId="0" fontId="26" fillId="0" borderId="29" xfId="1" applyFont="1" applyFill="1" applyBorder="1" applyAlignment="1" applyProtection="1">
      <alignment horizontal="center" vertical="center" wrapText="1"/>
    </xf>
    <xf numFmtId="165" fontId="23" fillId="0" borderId="23" xfId="0" applyNumberFormat="1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top" wrapText="1"/>
    </xf>
    <xf numFmtId="3" fontId="12" fillId="0" borderId="38" xfId="0" applyNumberFormat="1" applyFont="1" applyFill="1" applyBorder="1" applyAlignment="1" applyProtection="1">
      <alignment horizontal="center" vertical="top" wrapText="1"/>
    </xf>
    <xf numFmtId="3" fontId="12" fillId="0" borderId="29" xfId="0" applyNumberFormat="1" applyFont="1" applyFill="1" applyBorder="1" applyAlignment="1" applyProtection="1">
      <alignment horizontal="center" vertical="top" wrapText="1"/>
    </xf>
    <xf numFmtId="0" fontId="12" fillId="0" borderId="23" xfId="0" applyFont="1" applyBorder="1" applyAlignment="1">
      <alignment horizontal="center" vertical="top" wrapText="1"/>
    </xf>
    <xf numFmtId="3" fontId="12" fillId="0" borderId="39" xfId="0" applyNumberFormat="1" applyFont="1" applyFill="1" applyBorder="1" applyAlignment="1" applyProtection="1">
      <alignment horizontal="center" vertical="top" wrapText="1"/>
    </xf>
    <xf numFmtId="3" fontId="12" fillId="0" borderId="23" xfId="0" applyNumberFormat="1" applyFont="1" applyFill="1" applyBorder="1" applyAlignment="1" applyProtection="1">
      <alignment horizontal="center" vertical="top" wrapText="1"/>
    </xf>
    <xf numFmtId="165" fontId="21" fillId="0" borderId="17" xfId="2" applyNumberFormat="1" applyFont="1" applyFill="1" applyBorder="1" applyAlignment="1" applyProtection="1">
      <alignment horizontal="center" vertical="center" wrapText="1"/>
    </xf>
    <xf numFmtId="3" fontId="17" fillId="4" borderId="29" xfId="1" applyNumberFormat="1" applyFont="1" applyFill="1" applyBorder="1" applyAlignment="1" applyProtection="1">
      <alignment horizontal="center" vertical="center" wrapText="1"/>
    </xf>
    <xf numFmtId="0" fontId="32" fillId="0" borderId="29" xfId="0" applyFont="1" applyFill="1" applyBorder="1" applyAlignment="1">
      <alignment horizontal="center" vertical="center"/>
    </xf>
    <xf numFmtId="0" fontId="54" fillId="0" borderId="29" xfId="0" applyFont="1" applyFill="1" applyBorder="1" applyAlignment="1">
      <alignment horizontal="center" vertical="center"/>
    </xf>
    <xf numFmtId="0" fontId="54" fillId="0" borderId="30" xfId="0" applyFont="1" applyFill="1" applyBorder="1" applyAlignment="1">
      <alignment horizontal="center" vertical="center"/>
    </xf>
    <xf numFmtId="0" fontId="25" fillId="0" borderId="29" xfId="0" applyFont="1" applyFill="1" applyBorder="1" applyAlignment="1">
      <alignment horizontal="left" vertical="center" wrapText="1" indent="1"/>
    </xf>
    <xf numFmtId="0" fontId="25" fillId="0" borderId="29" xfId="0" applyFont="1" applyFill="1" applyBorder="1" applyAlignment="1">
      <alignment horizontal="left" vertical="top" wrapText="1" indent="1"/>
    </xf>
    <xf numFmtId="0" fontId="25" fillId="0" borderId="29" xfId="0" applyFont="1" applyFill="1" applyBorder="1" applyAlignment="1">
      <alignment horizontal="left" wrapText="1" indent="1"/>
    </xf>
    <xf numFmtId="0" fontId="25" fillId="0" borderId="29" xfId="0" applyFont="1" applyFill="1" applyBorder="1" applyAlignment="1">
      <alignment horizontal="center" vertical="center"/>
    </xf>
    <xf numFmtId="9" fontId="25" fillId="0" borderId="29" xfId="0" applyNumberFormat="1" applyFont="1" applyFill="1" applyBorder="1" applyAlignment="1">
      <alignment horizontal="center" vertical="center"/>
    </xf>
    <xf numFmtId="165" fontId="25" fillId="0" borderId="29" xfId="0" applyNumberFormat="1" applyFont="1" applyFill="1" applyBorder="1" applyAlignment="1">
      <alignment horizontal="center" vertical="center"/>
    </xf>
    <xf numFmtId="0" fontId="25" fillId="0" borderId="29" xfId="0" applyFont="1" applyFill="1" applyBorder="1" applyAlignment="1">
      <alignment horizontal="left" vertical="center" wrapText="1"/>
    </xf>
    <xf numFmtId="0" fontId="25" fillId="0" borderId="29" xfId="0" applyFont="1" applyFill="1" applyBorder="1" applyAlignment="1">
      <alignment horizontal="left" vertical="top" wrapText="1"/>
    </xf>
    <xf numFmtId="0" fontId="25" fillId="0" borderId="29" xfId="0" applyFont="1" applyFill="1" applyBorder="1" applyAlignment="1">
      <alignment horizontal="left" wrapText="1"/>
    </xf>
    <xf numFmtId="0" fontId="59" fillId="0" borderId="27" xfId="0" applyFont="1" applyBorder="1" applyAlignment="1">
      <alignment horizontal="center" vertical="center" wrapText="1"/>
    </xf>
    <xf numFmtId="0" fontId="59" fillId="0" borderId="28" xfId="0" applyFont="1" applyBorder="1" applyAlignment="1">
      <alignment horizontal="center" vertical="center" wrapText="1"/>
    </xf>
    <xf numFmtId="0" fontId="13" fillId="0" borderId="6" xfId="1" applyFont="1" applyFill="1" applyBorder="1" applyAlignment="1" applyProtection="1">
      <alignment horizontal="center" vertical="top" wrapText="1"/>
    </xf>
    <xf numFmtId="0" fontId="13" fillId="0" borderId="12" xfId="1" applyFont="1" applyFill="1" applyBorder="1" applyAlignment="1" applyProtection="1">
      <alignment horizontal="center" vertical="top" wrapText="1"/>
    </xf>
    <xf numFmtId="0" fontId="13" fillId="0" borderId="16" xfId="1" applyFont="1" applyFill="1" applyBorder="1" applyAlignment="1" applyProtection="1">
      <alignment horizontal="center" vertical="top" wrapText="1"/>
    </xf>
    <xf numFmtId="0" fontId="8" fillId="0" borderId="6" xfId="1" applyFont="1" applyFill="1" applyBorder="1" applyAlignment="1" applyProtection="1">
      <alignment horizontal="center" vertical="top" wrapText="1"/>
    </xf>
    <xf numFmtId="0" fontId="8" fillId="0" borderId="12" xfId="1" applyFont="1" applyFill="1" applyBorder="1" applyAlignment="1" applyProtection="1">
      <alignment horizontal="center" vertical="top" wrapText="1"/>
    </xf>
    <xf numFmtId="0" fontId="8" fillId="0" borderId="16" xfId="1" applyFont="1" applyFill="1" applyBorder="1" applyAlignment="1" applyProtection="1">
      <alignment horizontal="center" vertical="top" wrapText="1"/>
    </xf>
    <xf numFmtId="0" fontId="13" fillId="3" borderId="12" xfId="1" applyFont="1" applyFill="1" applyBorder="1" applyAlignment="1" applyProtection="1">
      <alignment horizontal="center" vertical="top" wrapText="1"/>
    </xf>
    <xf numFmtId="0" fontId="13" fillId="3" borderId="16" xfId="1" applyFont="1" applyFill="1" applyBorder="1" applyAlignment="1" applyProtection="1">
      <alignment horizontal="center" vertical="top" wrapText="1"/>
    </xf>
    <xf numFmtId="0" fontId="13" fillId="3" borderId="6" xfId="1" applyFont="1" applyFill="1" applyBorder="1" applyAlignment="1" applyProtection="1">
      <alignment horizontal="center" vertical="top" wrapText="1"/>
    </xf>
    <xf numFmtId="0" fontId="34" fillId="0" borderId="6" xfId="0" applyFont="1" applyFill="1" applyBorder="1" applyAlignment="1" applyProtection="1">
      <alignment horizontal="center" vertical="top" wrapText="1"/>
    </xf>
    <xf numFmtId="0" fontId="34" fillId="0" borderId="12" xfId="0" applyFont="1" applyFill="1" applyBorder="1" applyAlignment="1" applyProtection="1">
      <alignment horizontal="center" vertical="top" wrapText="1"/>
    </xf>
    <xf numFmtId="0" fontId="34" fillId="0" borderId="16" xfId="0" applyFont="1" applyFill="1" applyBorder="1" applyAlignment="1" applyProtection="1">
      <alignment horizontal="center" vertical="top" wrapText="1"/>
    </xf>
    <xf numFmtId="0" fontId="7" fillId="0" borderId="6" xfId="1" applyFont="1" applyFill="1" applyBorder="1" applyAlignment="1" applyProtection="1">
      <alignment horizontal="center" vertical="top" wrapText="1"/>
    </xf>
    <xf numFmtId="0" fontId="7" fillId="0" borderId="12" xfId="1" applyFont="1" applyFill="1" applyBorder="1" applyAlignment="1" applyProtection="1">
      <alignment horizontal="center" vertical="top" wrapText="1"/>
    </xf>
    <xf numFmtId="0" fontId="7" fillId="0" borderId="16" xfId="1" applyFont="1" applyFill="1" applyBorder="1" applyAlignment="1" applyProtection="1">
      <alignment horizontal="center" vertical="top" wrapText="1"/>
    </xf>
    <xf numFmtId="0" fontId="48" fillId="0" borderId="6" xfId="0" applyFont="1" applyBorder="1" applyAlignment="1">
      <alignment horizontal="right" vertical="top"/>
    </xf>
    <xf numFmtId="0" fontId="48" fillId="0" borderId="12" xfId="0" applyFont="1" applyBorder="1" applyAlignment="1">
      <alignment horizontal="right" vertical="top"/>
    </xf>
    <xf numFmtId="0" fontId="48" fillId="0" borderId="16" xfId="0" applyFont="1" applyBorder="1" applyAlignment="1">
      <alignment horizontal="right" vertical="top"/>
    </xf>
    <xf numFmtId="0" fontId="6" fillId="0" borderId="28" xfId="1" applyFont="1" applyFill="1" applyBorder="1" applyAlignment="1" applyProtection="1">
      <alignment horizontal="center" vertical="center" wrapText="1"/>
    </xf>
    <xf numFmtId="0" fontId="6" fillId="0" borderId="26" xfId="1" applyFont="1" applyFill="1" applyBorder="1" applyAlignment="1" applyProtection="1">
      <alignment horizontal="center" vertical="center" wrapText="1"/>
    </xf>
    <xf numFmtId="0" fontId="3" fillId="0" borderId="32" xfId="1" applyFont="1" applyFill="1" applyBorder="1" applyAlignment="1" applyProtection="1">
      <alignment horizontal="center" vertical="top" wrapText="1"/>
    </xf>
    <xf numFmtId="0" fontId="3" fillId="0" borderId="33" xfId="1" applyFont="1" applyFill="1" applyBorder="1" applyAlignment="1" applyProtection="1">
      <alignment horizontal="center" vertical="top" wrapText="1"/>
    </xf>
    <xf numFmtId="0" fontId="3" fillId="0" borderId="27" xfId="1" applyFont="1" applyFill="1" applyBorder="1" applyAlignment="1" applyProtection="1">
      <alignment horizontal="center" vertical="top" wrapText="1"/>
    </xf>
    <xf numFmtId="0" fontId="3" fillId="0" borderId="23" xfId="1" applyFont="1" applyFill="1" applyBorder="1" applyAlignment="1" applyProtection="1">
      <alignment horizontal="center" vertical="top" wrapText="1"/>
    </xf>
    <xf numFmtId="0" fontId="11" fillId="0" borderId="8" xfId="1" applyFont="1" applyFill="1" applyBorder="1" applyAlignment="1" applyProtection="1">
      <alignment horizontal="center" vertical="center" textRotation="90" wrapText="1"/>
    </xf>
    <xf numFmtId="0" fontId="11" fillId="0" borderId="19" xfId="1" applyFont="1" applyFill="1" applyBorder="1" applyAlignment="1" applyProtection="1">
      <alignment horizontal="center" vertical="center" textRotation="90" wrapText="1"/>
    </xf>
    <xf numFmtId="0" fontId="11" fillId="0" borderId="7" xfId="1" applyFont="1" applyFill="1" applyBorder="1" applyAlignment="1" applyProtection="1">
      <alignment horizontal="center" vertical="center" textRotation="90" wrapText="1"/>
    </xf>
    <xf numFmtId="0" fontId="11" fillId="0" borderId="17" xfId="1" applyFont="1" applyFill="1" applyBorder="1" applyAlignment="1" applyProtection="1">
      <alignment horizontal="center" vertical="center" textRotation="90" wrapText="1"/>
    </xf>
    <xf numFmtId="0" fontId="11" fillId="0" borderId="10" xfId="1" applyFont="1" applyFill="1" applyBorder="1" applyAlignment="1" applyProtection="1">
      <alignment horizontal="center" vertical="center" textRotation="90" wrapText="1"/>
    </xf>
    <xf numFmtId="0" fontId="11" fillId="0" borderId="20" xfId="1" applyFont="1" applyFill="1" applyBorder="1" applyAlignment="1" applyProtection="1">
      <alignment horizontal="center" vertical="center" textRotation="90" wrapText="1"/>
    </xf>
    <xf numFmtId="0" fontId="3" fillId="0" borderId="21" xfId="1" applyFont="1" applyFill="1" applyBorder="1" applyAlignment="1" applyProtection="1">
      <alignment horizontal="center" vertical="top" wrapText="1"/>
    </xf>
    <xf numFmtId="0" fontId="3" fillId="0" borderId="22" xfId="1" applyFont="1" applyFill="1" applyBorder="1" applyAlignment="1" applyProtection="1">
      <alignment horizontal="center" vertical="top" wrapText="1"/>
    </xf>
    <xf numFmtId="0" fontId="2" fillId="0" borderId="0" xfId="1" applyFont="1" applyFill="1" applyBorder="1" applyAlignment="1" applyProtection="1">
      <alignment horizontal="center" vertical="center" wrapText="1"/>
    </xf>
    <xf numFmtId="0" fontId="13" fillId="0" borderId="34" xfId="1" applyFont="1" applyFill="1" applyBorder="1" applyAlignment="1" applyProtection="1">
      <alignment horizontal="center" vertical="top" wrapText="1"/>
    </xf>
    <xf numFmtId="0" fontId="13" fillId="0" borderId="18" xfId="1" applyFont="1" applyFill="1" applyBorder="1" applyAlignment="1" applyProtection="1">
      <alignment horizontal="center" vertical="top" wrapText="1"/>
    </xf>
    <xf numFmtId="0" fontId="13" fillId="0" borderId="35" xfId="1" applyFont="1" applyFill="1" applyBorder="1" applyAlignment="1" applyProtection="1">
      <alignment horizontal="center" vertical="top" wrapText="1"/>
    </xf>
    <xf numFmtId="0" fontId="47" fillId="0" borderId="6" xfId="1" applyFont="1" applyFill="1" applyBorder="1" applyAlignment="1" applyProtection="1">
      <alignment horizontal="center" vertical="top" wrapText="1"/>
    </xf>
    <xf numFmtId="0" fontId="47" fillId="0" borderId="12" xfId="1" applyFont="1" applyFill="1" applyBorder="1" applyAlignment="1" applyProtection="1">
      <alignment horizontal="center" vertical="top" wrapText="1"/>
    </xf>
    <xf numFmtId="0" fontId="47" fillId="0" borderId="18" xfId="1" applyFont="1" applyFill="1" applyBorder="1" applyAlignment="1" applyProtection="1">
      <alignment horizontal="center" vertical="top" wrapText="1"/>
    </xf>
    <xf numFmtId="0" fontId="13" fillId="0" borderId="6" xfId="1" applyFont="1" applyFill="1" applyBorder="1" applyAlignment="1">
      <alignment horizontal="center" vertical="top"/>
    </xf>
    <xf numFmtId="0" fontId="13" fillId="0" borderId="12" xfId="1" applyFont="1" applyFill="1" applyBorder="1" applyAlignment="1">
      <alignment horizontal="center" vertical="top"/>
    </xf>
    <xf numFmtId="0" fontId="13" fillId="0" borderId="16" xfId="1" applyFont="1" applyFill="1" applyBorder="1" applyAlignment="1">
      <alignment horizontal="center" vertical="top"/>
    </xf>
    <xf numFmtId="0" fontId="47" fillId="0" borderId="16" xfId="1" applyFont="1" applyFill="1" applyBorder="1" applyAlignment="1" applyProtection="1">
      <alignment horizontal="center" vertical="top" wrapText="1"/>
    </xf>
    <xf numFmtId="0" fontId="48" fillId="0" borderId="6" xfId="0" applyFont="1" applyBorder="1" applyAlignment="1">
      <alignment horizontal="center" vertical="top"/>
    </xf>
    <xf numFmtId="0" fontId="48" fillId="0" borderId="12" xfId="0" applyFont="1" applyBorder="1" applyAlignment="1">
      <alignment horizontal="center" vertical="top"/>
    </xf>
    <xf numFmtId="0" fontId="48" fillId="0" borderId="16" xfId="0" applyFont="1" applyBorder="1" applyAlignment="1">
      <alignment horizontal="center" vertical="top"/>
    </xf>
    <xf numFmtId="0" fontId="48" fillId="0" borderId="32" xfId="0" applyFont="1" applyBorder="1" applyAlignment="1">
      <alignment horizontal="center" vertical="top"/>
    </xf>
    <xf numFmtId="0" fontId="48" fillId="0" borderId="31" xfId="0" applyFont="1" applyBorder="1" applyAlignment="1">
      <alignment horizontal="center" vertical="top"/>
    </xf>
    <xf numFmtId="0" fontId="48" fillId="0" borderId="33" xfId="0" applyFont="1" applyBorder="1" applyAlignment="1">
      <alignment horizontal="center" vertical="top"/>
    </xf>
    <xf numFmtId="0" fontId="13" fillId="0" borderId="32" xfId="1" applyFont="1" applyFill="1" applyBorder="1" applyAlignment="1" applyProtection="1">
      <alignment horizontal="center" vertical="top" wrapText="1"/>
    </xf>
    <xf numFmtId="0" fontId="13" fillId="0" borderId="31" xfId="1" applyFont="1" applyFill="1" applyBorder="1" applyAlignment="1" applyProtection="1">
      <alignment horizontal="center" vertical="top" wrapText="1"/>
    </xf>
    <xf numFmtId="0" fontId="13" fillId="0" borderId="33" xfId="1" applyFont="1" applyFill="1" applyBorder="1" applyAlignment="1" applyProtection="1">
      <alignment horizontal="center" vertical="top" wrapText="1"/>
    </xf>
    <xf numFmtId="0" fontId="6" fillId="0" borderId="6" xfId="1" applyFont="1" applyFill="1" applyBorder="1" applyAlignment="1" applyProtection="1">
      <alignment horizontal="center" vertical="center" wrapText="1"/>
    </xf>
    <xf numFmtId="0" fontId="6" fillId="0" borderId="16" xfId="1" applyFont="1" applyFill="1" applyBorder="1" applyAlignment="1" applyProtection="1">
      <alignment horizontal="center" vertical="center" wrapText="1"/>
    </xf>
    <xf numFmtId="0" fontId="6" fillId="0" borderId="7" xfId="1" applyFont="1" applyFill="1" applyBorder="1" applyAlignment="1" applyProtection="1">
      <alignment horizontal="center" vertical="center" wrapText="1"/>
    </xf>
    <xf numFmtId="0" fontId="6" fillId="0" borderId="17" xfId="1" applyFont="1" applyFill="1" applyBorder="1" applyAlignment="1" applyProtection="1">
      <alignment horizontal="center" vertical="center" wrapText="1"/>
    </xf>
    <xf numFmtId="0" fontId="6" fillId="0" borderId="27" xfId="1" applyFont="1" applyFill="1" applyBorder="1" applyAlignment="1" applyProtection="1">
      <alignment horizontal="center" vertical="top" wrapText="1"/>
    </xf>
    <xf numFmtId="0" fontId="6" fillId="0" borderId="23" xfId="1" applyFont="1" applyFill="1" applyBorder="1" applyAlignment="1" applyProtection="1">
      <alignment horizontal="center" vertical="top" wrapText="1"/>
    </xf>
  </cellXfs>
  <cellStyles count="4">
    <cellStyle name="Обычный" xfId="0" builtinId="0"/>
    <cellStyle name="Обычный 2" xfId="1"/>
    <cellStyle name="Процентный 2" xfId="2"/>
    <cellStyle name="Финансовый 2" xfId="3"/>
  </cellStyles>
  <dxfs count="0"/>
  <tableStyles count="0" defaultTableStyle="TableStyleMedium2" defaultPivotStyle="PivotStyleLight16"/>
  <colors>
    <mruColors>
      <color rgb="FF000000"/>
      <color rgb="FF000080"/>
      <color rgb="FFCCCCFF"/>
      <color rgb="FF0E0180"/>
      <color rgb="FF0E0185"/>
      <color rgb="FF1502CA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outlinePr summaryBelow="0"/>
  </sheetPr>
  <dimension ref="A1:N390"/>
  <sheetViews>
    <sheetView tabSelected="1" zoomScaleNormal="100" zoomScaleSheetLayoutView="100" workbookViewId="0">
      <pane xSplit="2" ySplit="4" topLeftCell="C390" activePane="bottomRight" state="frozen"/>
      <selection pane="topRight" activeCell="C1" sqref="C1"/>
      <selection pane="bottomLeft" activeCell="A5" sqref="A5"/>
      <selection pane="bottomRight" activeCell="B359" sqref="A359:XFD359"/>
    </sheetView>
  </sheetViews>
  <sheetFormatPr defaultRowHeight="14.4" x14ac:dyDescent="0.3"/>
  <cols>
    <col min="1" max="1" width="6.33203125" customWidth="1"/>
    <col min="2" max="2" width="39.109375" customWidth="1"/>
    <col min="4" max="4" width="14.33203125" customWidth="1"/>
    <col min="5" max="5" width="11.6640625" customWidth="1"/>
    <col min="6" max="6" width="11" customWidth="1"/>
    <col min="7" max="8" width="11.88671875" customWidth="1"/>
    <col min="9" max="9" width="10.6640625" customWidth="1"/>
    <col min="10" max="10" width="11.109375" customWidth="1"/>
    <col min="11" max="14" width="8.88671875" customWidth="1"/>
  </cols>
  <sheetData>
    <row r="1" spans="1:14" ht="58.95" customHeight="1" thickBot="1" x14ac:dyDescent="0.35">
      <c r="A1" s="750" t="s">
        <v>0</v>
      </c>
      <c r="B1" s="750"/>
      <c r="C1" s="750"/>
      <c r="D1" s="750"/>
      <c r="E1" s="750"/>
      <c r="F1" s="750"/>
      <c r="G1" s="750"/>
      <c r="H1" s="750"/>
      <c r="I1" s="750"/>
      <c r="J1" s="750"/>
    </row>
    <row r="2" spans="1:14" x14ac:dyDescent="0.3">
      <c r="A2" s="738" t="s">
        <v>1</v>
      </c>
      <c r="B2" s="740" t="s">
        <v>2</v>
      </c>
      <c r="C2" s="740" t="s">
        <v>3</v>
      </c>
      <c r="D2" s="740" t="s">
        <v>4</v>
      </c>
      <c r="E2" s="740" t="s">
        <v>5</v>
      </c>
      <c r="F2" s="740"/>
      <c r="G2" s="740" t="s">
        <v>6</v>
      </c>
      <c r="H2" s="740"/>
      <c r="I2" s="748" t="s">
        <v>7</v>
      </c>
      <c r="J2" s="749"/>
      <c r="K2" s="742" t="s">
        <v>8</v>
      </c>
      <c r="L2" s="744" t="s">
        <v>9</v>
      </c>
      <c r="M2" s="746" t="s">
        <v>10</v>
      </c>
      <c r="N2" s="736" t="s">
        <v>11</v>
      </c>
    </row>
    <row r="3" spans="1:14" ht="97.2" thickBot="1" x14ac:dyDescent="0.35">
      <c r="A3" s="739"/>
      <c r="B3" s="741"/>
      <c r="C3" s="741"/>
      <c r="D3" s="741"/>
      <c r="E3" s="3" t="s">
        <v>12</v>
      </c>
      <c r="F3" s="3" t="s">
        <v>15</v>
      </c>
      <c r="G3" s="3" t="s">
        <v>13</v>
      </c>
      <c r="H3" s="3" t="s">
        <v>16</v>
      </c>
      <c r="I3" s="3" t="s">
        <v>14</v>
      </c>
      <c r="J3" s="3" t="s">
        <v>155</v>
      </c>
      <c r="K3" s="743"/>
      <c r="L3" s="745"/>
      <c r="M3" s="747"/>
      <c r="N3" s="737"/>
    </row>
    <row r="4" spans="1:14" ht="15" thickBot="1" x14ac:dyDescent="0.35">
      <c r="A4" s="4">
        <v>1</v>
      </c>
      <c r="B4" s="113">
        <v>2</v>
      </c>
      <c r="C4" s="113">
        <v>3</v>
      </c>
      <c r="D4" s="113">
        <v>4</v>
      </c>
      <c r="E4" s="113">
        <v>5</v>
      </c>
      <c r="F4" s="113">
        <v>6</v>
      </c>
      <c r="G4" s="113">
        <v>7</v>
      </c>
      <c r="H4" s="113">
        <v>8</v>
      </c>
      <c r="I4" s="113">
        <v>9</v>
      </c>
      <c r="J4" s="113">
        <v>10</v>
      </c>
      <c r="K4" s="113">
        <v>11</v>
      </c>
      <c r="L4" s="113">
        <v>12</v>
      </c>
      <c r="M4" s="113">
        <v>13</v>
      </c>
      <c r="N4" s="432">
        <v>14</v>
      </c>
    </row>
    <row r="5" spans="1:14" ht="26.4" collapsed="1" x14ac:dyDescent="0.3">
      <c r="A5" s="730" t="s">
        <v>33</v>
      </c>
      <c r="B5" s="68" t="s">
        <v>34</v>
      </c>
      <c r="C5" s="67"/>
      <c r="D5" s="2"/>
      <c r="E5" s="2"/>
      <c r="F5" s="2"/>
      <c r="G5" s="2"/>
      <c r="H5" s="2"/>
      <c r="I5" s="77"/>
      <c r="J5" s="77"/>
      <c r="K5" s="1"/>
      <c r="L5" s="1"/>
      <c r="M5" s="1"/>
      <c r="N5" s="308"/>
    </row>
    <row r="6" spans="1:14" x14ac:dyDescent="0.3">
      <c r="A6" s="731"/>
      <c r="B6" s="191" t="s">
        <v>19</v>
      </c>
      <c r="C6" s="192" t="s">
        <v>20</v>
      </c>
      <c r="D6" s="194"/>
      <c r="E6" s="194">
        <f>SUM(E7:E9)</f>
        <v>174817.09999999998</v>
      </c>
      <c r="F6" s="194">
        <f>SUM(F7:F9)</f>
        <v>47622.6</v>
      </c>
      <c r="G6" s="194">
        <f t="shared" ref="G6" si="0">SUM(G7:G9)</f>
        <v>172991</v>
      </c>
      <c r="H6" s="194">
        <f>SUM(H7:H9)</f>
        <v>45796.6</v>
      </c>
      <c r="I6" s="201">
        <f>G6/E6</f>
        <v>0.98955422553056893</v>
      </c>
      <c r="J6" s="201">
        <f>H6/F6</f>
        <v>0.9616568603982143</v>
      </c>
      <c r="K6" s="222"/>
      <c r="L6" s="222"/>
      <c r="M6" s="222"/>
      <c r="N6" s="431"/>
    </row>
    <row r="7" spans="1:14" x14ac:dyDescent="0.3">
      <c r="A7" s="731"/>
      <c r="B7" s="11" t="s">
        <v>21</v>
      </c>
      <c r="C7" s="181" t="s">
        <v>20</v>
      </c>
      <c r="D7" s="185"/>
      <c r="E7" s="185">
        <f>E13</f>
        <v>100000.3</v>
      </c>
      <c r="F7" s="185">
        <f t="shared" ref="F7:H7" si="1">F13</f>
        <v>19538.5</v>
      </c>
      <c r="G7" s="185">
        <f t="shared" si="1"/>
        <v>100000.3</v>
      </c>
      <c r="H7" s="185">
        <f t="shared" si="1"/>
        <v>19538.5</v>
      </c>
      <c r="I7" s="202">
        <f t="shared" ref="I7:I9" si="2">G7/E7</f>
        <v>1</v>
      </c>
      <c r="J7" s="202">
        <f t="shared" ref="J7:J9" si="3">H7/F7</f>
        <v>1</v>
      </c>
      <c r="K7" s="139"/>
      <c r="L7" s="139"/>
      <c r="M7" s="139"/>
      <c r="N7" s="111"/>
    </row>
    <row r="8" spans="1:14" x14ac:dyDescent="0.3">
      <c r="A8" s="731"/>
      <c r="B8" s="11" t="s">
        <v>22</v>
      </c>
      <c r="C8" s="181" t="s">
        <v>20</v>
      </c>
      <c r="D8" s="185"/>
      <c r="E8" s="185">
        <f>E14+E23</f>
        <v>41580</v>
      </c>
      <c r="F8" s="185">
        <f t="shared" ref="F8:H8" si="4">F14+F23</f>
        <v>12054.2</v>
      </c>
      <c r="G8" s="185">
        <f t="shared" si="4"/>
        <v>41579.9</v>
      </c>
      <c r="H8" s="185">
        <f t="shared" si="4"/>
        <v>12054.2</v>
      </c>
      <c r="I8" s="202">
        <f t="shared" si="2"/>
        <v>0.999997594997595</v>
      </c>
      <c r="J8" s="202">
        <f t="shared" si="3"/>
        <v>1</v>
      </c>
      <c r="K8" s="139"/>
      <c r="L8" s="139"/>
      <c r="M8" s="139"/>
      <c r="N8" s="111"/>
    </row>
    <row r="9" spans="1:14" x14ac:dyDescent="0.3">
      <c r="A9" s="731"/>
      <c r="B9" s="11" t="s">
        <v>35</v>
      </c>
      <c r="C9" s="181" t="s">
        <v>20</v>
      </c>
      <c r="D9" s="185"/>
      <c r="E9" s="185">
        <f>E15+E24</f>
        <v>33236.800000000003</v>
      </c>
      <c r="F9" s="185">
        <f t="shared" ref="F9:H9" si="5">F15+F24</f>
        <v>16029.9</v>
      </c>
      <c r="G9" s="185">
        <f t="shared" si="5"/>
        <v>31410.799999999999</v>
      </c>
      <c r="H9" s="185">
        <f t="shared" si="5"/>
        <v>14203.9</v>
      </c>
      <c r="I9" s="202">
        <f t="shared" si="2"/>
        <v>0.94506089635584645</v>
      </c>
      <c r="J9" s="202">
        <f t="shared" si="3"/>
        <v>0.88608787328679528</v>
      </c>
      <c r="K9" s="139"/>
      <c r="L9" s="139"/>
      <c r="M9" s="139"/>
      <c r="N9" s="111"/>
    </row>
    <row r="10" spans="1:14" ht="27" thickBot="1" x14ac:dyDescent="0.35">
      <c r="A10" s="732"/>
      <c r="B10" s="30" t="s">
        <v>36</v>
      </c>
      <c r="C10" s="184" t="s">
        <v>26</v>
      </c>
      <c r="D10" s="9"/>
      <c r="E10" s="9"/>
      <c r="F10" s="9"/>
      <c r="G10" s="9"/>
      <c r="H10" s="86"/>
      <c r="I10" s="86"/>
      <c r="J10" s="86"/>
      <c r="K10" s="42"/>
      <c r="L10" s="42"/>
      <c r="M10" s="42"/>
      <c r="N10" s="310"/>
    </row>
    <row r="11" spans="1:14" ht="44.4" customHeight="1" collapsed="1" x14ac:dyDescent="0.3">
      <c r="A11" s="757" t="s">
        <v>37</v>
      </c>
      <c r="B11" s="25" t="s">
        <v>18</v>
      </c>
      <c r="C11" s="433"/>
      <c r="D11" s="433"/>
      <c r="E11" s="433"/>
      <c r="F11" s="433"/>
      <c r="G11" s="433"/>
      <c r="H11" s="433"/>
      <c r="I11" s="433"/>
      <c r="J11" s="433"/>
      <c r="K11" s="178"/>
      <c r="L11" s="178"/>
      <c r="M11" s="178"/>
      <c r="N11" s="180"/>
    </row>
    <row r="12" spans="1:14" x14ac:dyDescent="0.3">
      <c r="A12" s="758"/>
      <c r="B12" s="191" t="s">
        <v>19</v>
      </c>
      <c r="C12" s="192" t="s">
        <v>20</v>
      </c>
      <c r="D12" s="193"/>
      <c r="E12" s="194">
        <f>SUM(E13:E15)</f>
        <v>174506.59999999998</v>
      </c>
      <c r="F12" s="194">
        <f t="shared" ref="F12:H12" si="6">SUM(F13:F15)</f>
        <v>47411.7</v>
      </c>
      <c r="G12" s="194">
        <f t="shared" si="6"/>
        <v>172680.5</v>
      </c>
      <c r="H12" s="194">
        <f t="shared" si="6"/>
        <v>45585.7</v>
      </c>
      <c r="I12" s="201">
        <f>G12/E12</f>
        <v>0.98953563933971567</v>
      </c>
      <c r="J12" s="201">
        <f>$H12/$F12</f>
        <v>0.96148629979519828</v>
      </c>
      <c r="K12" s="195"/>
      <c r="L12" s="195"/>
      <c r="M12" s="195"/>
      <c r="N12" s="272"/>
    </row>
    <row r="13" spans="1:14" x14ac:dyDescent="0.3">
      <c r="A13" s="758"/>
      <c r="B13" s="11" t="s">
        <v>21</v>
      </c>
      <c r="C13" s="181" t="s">
        <v>20</v>
      </c>
      <c r="D13" s="6"/>
      <c r="E13" s="190">
        <v>100000.3</v>
      </c>
      <c r="F13" s="190">
        <v>19538.5</v>
      </c>
      <c r="G13" s="485">
        <f>80461.8+H13</f>
        <v>100000.3</v>
      </c>
      <c r="H13" s="190">
        <v>19538.5</v>
      </c>
      <c r="I13" s="202">
        <f t="shared" ref="I13:I14" si="7">$G13/$E13</f>
        <v>1</v>
      </c>
      <c r="J13" s="202">
        <f t="shared" ref="J13:J15" si="8">$H13/$F13</f>
        <v>1</v>
      </c>
      <c r="K13" s="182"/>
      <c r="L13" s="182"/>
      <c r="M13" s="182"/>
      <c r="N13" s="183"/>
    </row>
    <row r="14" spans="1:14" x14ac:dyDescent="0.3">
      <c r="A14" s="758"/>
      <c r="B14" s="11" t="s">
        <v>22</v>
      </c>
      <c r="C14" s="181" t="s">
        <v>20</v>
      </c>
      <c r="D14" s="185"/>
      <c r="E14" s="190">
        <v>41410</v>
      </c>
      <c r="F14" s="190">
        <v>11884.2</v>
      </c>
      <c r="G14" s="486">
        <f>29525.7+H14</f>
        <v>41409.9</v>
      </c>
      <c r="H14" s="190">
        <v>11884.2</v>
      </c>
      <c r="I14" s="202">
        <f t="shared" si="7"/>
        <v>0.9999975851243661</v>
      </c>
      <c r="J14" s="202">
        <f t="shared" si="8"/>
        <v>1</v>
      </c>
      <c r="K14" s="182"/>
      <c r="L14" s="182"/>
      <c r="M14" s="182"/>
      <c r="N14" s="187"/>
    </row>
    <row r="15" spans="1:14" x14ac:dyDescent="0.3">
      <c r="A15" s="758"/>
      <c r="B15" s="11" t="s">
        <v>23</v>
      </c>
      <c r="C15" s="181" t="s">
        <v>20</v>
      </c>
      <c r="D15" s="185"/>
      <c r="E15" s="190">
        <v>33096.300000000003</v>
      </c>
      <c r="F15" s="190">
        <v>15989</v>
      </c>
      <c r="G15" s="485">
        <f>17107.3+H15</f>
        <v>31270.3</v>
      </c>
      <c r="H15" s="190">
        <v>14163</v>
      </c>
      <c r="I15" s="202">
        <f>$G15/$E15</f>
        <v>0.9448276695582285</v>
      </c>
      <c r="J15" s="202">
        <f t="shared" si="8"/>
        <v>0.88579648508349496</v>
      </c>
      <c r="K15" s="182"/>
      <c r="L15" s="182"/>
      <c r="M15" s="182"/>
      <c r="N15" s="183"/>
    </row>
    <row r="16" spans="1:14" x14ac:dyDescent="0.3">
      <c r="A16" s="758"/>
      <c r="B16" s="196" t="s">
        <v>24</v>
      </c>
      <c r="C16" s="197"/>
      <c r="D16" s="198"/>
      <c r="E16" s="198"/>
      <c r="F16" s="198"/>
      <c r="G16" s="198"/>
      <c r="H16" s="198"/>
      <c r="I16" s="199"/>
      <c r="J16" s="199"/>
      <c r="K16" s="458">
        <v>4</v>
      </c>
      <c r="L16" s="458">
        <v>4</v>
      </c>
      <c r="M16" s="458">
        <v>0</v>
      </c>
      <c r="N16" s="459"/>
    </row>
    <row r="17" spans="1:14" ht="26.4" x14ac:dyDescent="0.3">
      <c r="A17" s="758"/>
      <c r="B17" s="14" t="s">
        <v>25</v>
      </c>
      <c r="C17" s="13" t="s">
        <v>26</v>
      </c>
      <c r="D17" s="225">
        <v>13.5</v>
      </c>
      <c r="E17" s="225">
        <v>20</v>
      </c>
      <c r="F17" s="225">
        <v>20</v>
      </c>
      <c r="G17" s="225">
        <v>21.5</v>
      </c>
      <c r="H17" s="225">
        <v>21.9</v>
      </c>
      <c r="I17" s="227">
        <f>G17/E17</f>
        <v>1.075</v>
      </c>
      <c r="J17" s="227">
        <f>H17/F17</f>
        <v>1.095</v>
      </c>
      <c r="K17" s="182"/>
      <c r="L17" s="182"/>
      <c r="M17" s="182"/>
      <c r="N17" s="183"/>
    </row>
    <row r="18" spans="1:14" ht="26.4" x14ac:dyDescent="0.3">
      <c r="A18" s="758"/>
      <c r="B18" s="14" t="s">
        <v>27</v>
      </c>
      <c r="C18" s="13" t="s">
        <v>28</v>
      </c>
      <c r="D18" s="226">
        <v>943</v>
      </c>
      <c r="E18" s="226">
        <v>2300</v>
      </c>
      <c r="F18" s="226">
        <v>1100</v>
      </c>
      <c r="G18" s="226">
        <f>962+H18</f>
        <v>2123</v>
      </c>
      <c r="H18" s="226">
        <v>1161</v>
      </c>
      <c r="I18" s="227">
        <f>G18/E18</f>
        <v>0.92304347826086952</v>
      </c>
      <c r="J18" s="227">
        <f t="shared" ref="J18:J20" si="9">H18/F18</f>
        <v>1.0554545454545454</v>
      </c>
      <c r="K18" s="182"/>
      <c r="L18" s="182"/>
      <c r="M18" s="182"/>
      <c r="N18" s="183"/>
    </row>
    <row r="19" spans="1:14" ht="26.4" x14ac:dyDescent="0.3">
      <c r="A19" s="758"/>
      <c r="B19" s="14" t="s">
        <v>29</v>
      </c>
      <c r="C19" s="13" t="s">
        <v>30</v>
      </c>
      <c r="D19" s="226">
        <v>66</v>
      </c>
      <c r="E19" s="226">
        <v>100</v>
      </c>
      <c r="F19" s="226">
        <v>90</v>
      </c>
      <c r="G19" s="226">
        <v>107</v>
      </c>
      <c r="H19" s="226">
        <v>85</v>
      </c>
      <c r="I19" s="227">
        <f>G19/E19</f>
        <v>1.07</v>
      </c>
      <c r="J19" s="227">
        <f t="shared" si="9"/>
        <v>0.94444444444444442</v>
      </c>
      <c r="K19" s="182"/>
      <c r="L19" s="182"/>
      <c r="M19" s="182"/>
      <c r="N19" s="183"/>
    </row>
    <row r="20" spans="1:14" ht="15" thickBot="1" x14ac:dyDescent="0.35">
      <c r="A20" s="759"/>
      <c r="B20" s="177" t="s">
        <v>31</v>
      </c>
      <c r="C20" s="184" t="s">
        <v>32</v>
      </c>
      <c r="D20" s="434">
        <v>68</v>
      </c>
      <c r="E20" s="434">
        <v>73</v>
      </c>
      <c r="F20" s="434">
        <v>73</v>
      </c>
      <c r="G20" s="434">
        <v>74</v>
      </c>
      <c r="H20" s="434">
        <v>74</v>
      </c>
      <c r="I20" s="435">
        <f>G20/E20</f>
        <v>1.0136986301369864</v>
      </c>
      <c r="J20" s="435">
        <f t="shared" si="9"/>
        <v>1.0136986301369864</v>
      </c>
      <c r="K20" s="179"/>
      <c r="L20" s="179"/>
      <c r="M20" s="179"/>
      <c r="N20" s="176"/>
    </row>
    <row r="21" spans="1:14" ht="52.8" collapsed="1" x14ac:dyDescent="0.3">
      <c r="A21" s="718" t="s">
        <v>44</v>
      </c>
      <c r="B21" s="25" t="s">
        <v>39</v>
      </c>
      <c r="C21" s="20"/>
      <c r="D21" s="2"/>
      <c r="E21" s="2"/>
      <c r="F21" s="2"/>
      <c r="G21" s="2"/>
      <c r="H21" s="2"/>
      <c r="I21" s="16"/>
      <c r="J21" s="16"/>
      <c r="K21" s="15"/>
      <c r="L21" s="15"/>
      <c r="M21" s="15"/>
      <c r="N21" s="17"/>
    </row>
    <row r="22" spans="1:14" x14ac:dyDescent="0.3">
      <c r="A22" s="719"/>
      <c r="B22" s="191" t="s">
        <v>19</v>
      </c>
      <c r="C22" s="192" t="s">
        <v>20</v>
      </c>
      <c r="D22" s="194"/>
      <c r="E22" s="203">
        <f>SUM(E23:E24)</f>
        <v>310.5</v>
      </c>
      <c r="F22" s="203">
        <f t="shared" ref="F22:H22" si="10">SUM(F23:F24)</f>
        <v>210.9</v>
      </c>
      <c r="G22" s="203">
        <f t="shared" si="10"/>
        <v>310.5</v>
      </c>
      <c r="H22" s="203">
        <f t="shared" si="10"/>
        <v>210.9</v>
      </c>
      <c r="I22" s="201">
        <f>G22/E22</f>
        <v>1</v>
      </c>
      <c r="J22" s="201">
        <f>H22/F22</f>
        <v>1</v>
      </c>
      <c r="K22" s="204"/>
      <c r="L22" s="204"/>
      <c r="M22" s="204"/>
      <c r="N22" s="205"/>
    </row>
    <row r="23" spans="1:14" x14ac:dyDescent="0.3">
      <c r="A23" s="719"/>
      <c r="B23" s="10" t="s">
        <v>40</v>
      </c>
      <c r="C23" s="18" t="s">
        <v>20</v>
      </c>
      <c r="D23" s="19"/>
      <c r="E23" s="212">
        <v>170</v>
      </c>
      <c r="F23" s="206">
        <v>170</v>
      </c>
      <c r="G23" s="206">
        <v>170</v>
      </c>
      <c r="H23" s="206">
        <v>170</v>
      </c>
      <c r="I23" s="202">
        <f t="shared" ref="I23:J24" si="11">G23/E23</f>
        <v>1</v>
      </c>
      <c r="J23" s="202">
        <f t="shared" si="11"/>
        <v>1</v>
      </c>
      <c r="K23" s="207"/>
      <c r="L23" s="207"/>
      <c r="M23" s="207"/>
      <c r="N23" s="208"/>
    </row>
    <row r="24" spans="1:14" x14ac:dyDescent="0.3">
      <c r="A24" s="719"/>
      <c r="B24" s="11" t="s">
        <v>23</v>
      </c>
      <c r="C24" s="18" t="s">
        <v>20</v>
      </c>
      <c r="D24" s="6"/>
      <c r="E24" s="206">
        <v>140.5</v>
      </c>
      <c r="F24" s="206">
        <v>40.9</v>
      </c>
      <c r="G24" s="206">
        <f>99.6+40.9</f>
        <v>140.5</v>
      </c>
      <c r="H24" s="206">
        <v>40.9</v>
      </c>
      <c r="I24" s="202">
        <f t="shared" si="11"/>
        <v>1</v>
      </c>
      <c r="J24" s="202">
        <f t="shared" si="11"/>
        <v>1</v>
      </c>
      <c r="K24" s="207"/>
      <c r="L24" s="207"/>
      <c r="M24" s="207"/>
      <c r="N24" s="208"/>
    </row>
    <row r="25" spans="1:14" x14ac:dyDescent="0.3">
      <c r="A25" s="719"/>
      <c r="B25" s="196" t="s">
        <v>24</v>
      </c>
      <c r="C25" s="216"/>
      <c r="D25" s="410"/>
      <c r="E25" s="216"/>
      <c r="F25" s="216"/>
      <c r="G25" s="216"/>
      <c r="H25" s="216"/>
      <c r="I25" s="199"/>
      <c r="J25" s="199"/>
      <c r="K25" s="458">
        <v>3</v>
      </c>
      <c r="L25" s="458">
        <v>3</v>
      </c>
      <c r="M25" s="458">
        <v>0</v>
      </c>
      <c r="N25" s="459"/>
    </row>
    <row r="26" spans="1:14" ht="26.4" x14ac:dyDescent="0.3">
      <c r="A26" s="719"/>
      <c r="B26" s="403" t="s">
        <v>41</v>
      </c>
      <c r="C26" s="13" t="s">
        <v>30</v>
      </c>
      <c r="D26" s="487">
        <v>53</v>
      </c>
      <c r="E26" s="82">
        <v>48</v>
      </c>
      <c r="F26" s="82">
        <v>48</v>
      </c>
      <c r="G26" s="82">
        <v>45</v>
      </c>
      <c r="H26" s="82">
        <v>45</v>
      </c>
      <c r="I26" s="220">
        <f>E26/G26</f>
        <v>1.0666666666666667</v>
      </c>
      <c r="J26" s="220">
        <f>F26/H26</f>
        <v>1.0666666666666667</v>
      </c>
      <c r="K26" s="209"/>
      <c r="L26" s="209"/>
      <c r="M26" s="209"/>
      <c r="N26" s="210"/>
    </row>
    <row r="27" spans="1:14" ht="61.5" customHeight="1" x14ac:dyDescent="0.3">
      <c r="A27" s="719"/>
      <c r="B27" s="403" t="s">
        <v>42</v>
      </c>
      <c r="C27" s="13" t="s">
        <v>26</v>
      </c>
      <c r="D27" s="488"/>
      <c r="E27" s="219">
        <v>6.1</v>
      </c>
      <c r="F27" s="219">
        <v>6.1</v>
      </c>
      <c r="G27" s="219">
        <v>6.4</v>
      </c>
      <c r="H27" s="219">
        <v>6.4</v>
      </c>
      <c r="I27" s="220">
        <f>G27/E27</f>
        <v>1.0491803278688525</v>
      </c>
      <c r="J27" s="220">
        <f>H27/F27</f>
        <v>1.0491803278688525</v>
      </c>
      <c r="K27" s="209"/>
      <c r="L27" s="209"/>
      <c r="M27" s="209"/>
      <c r="N27" s="210"/>
    </row>
    <row r="28" spans="1:14" ht="53.4" thickBot="1" x14ac:dyDescent="0.35">
      <c r="A28" s="720"/>
      <c r="B28" s="403" t="s">
        <v>43</v>
      </c>
      <c r="C28" s="13" t="s">
        <v>26</v>
      </c>
      <c r="D28" s="219">
        <v>80</v>
      </c>
      <c r="E28" s="219">
        <v>100</v>
      </c>
      <c r="F28" s="219">
        <v>90</v>
      </c>
      <c r="G28" s="219">
        <v>100</v>
      </c>
      <c r="H28" s="219">
        <v>100</v>
      </c>
      <c r="I28" s="220">
        <f>G28/E28</f>
        <v>1</v>
      </c>
      <c r="J28" s="220">
        <f>H28/F28</f>
        <v>1.1111111111111112</v>
      </c>
      <c r="K28" s="209"/>
      <c r="L28" s="209"/>
      <c r="M28" s="209"/>
      <c r="N28" s="210"/>
    </row>
    <row r="29" spans="1:14" ht="26.4" x14ac:dyDescent="0.3">
      <c r="A29" s="730" t="s">
        <v>45</v>
      </c>
      <c r="B29" s="28" t="s">
        <v>46</v>
      </c>
      <c r="C29" s="40"/>
      <c r="D29" s="2"/>
      <c r="E29" s="29"/>
      <c r="F29" s="29"/>
      <c r="G29" s="29"/>
      <c r="H29" s="29"/>
      <c r="I29" s="34"/>
      <c r="J29" s="34"/>
      <c r="K29" s="33"/>
      <c r="L29" s="33"/>
      <c r="M29" s="33"/>
      <c r="N29" s="41"/>
    </row>
    <row r="30" spans="1:14" x14ac:dyDescent="0.3">
      <c r="A30" s="731"/>
      <c r="B30" s="191" t="s">
        <v>19</v>
      </c>
      <c r="C30" s="192" t="s">
        <v>20</v>
      </c>
      <c r="D30" s="194"/>
      <c r="E30" s="194">
        <f>SUM(E31:E34)</f>
        <v>1266504.3999999999</v>
      </c>
      <c r="F30" s="194">
        <f t="shared" ref="F30:H30" si="12">SUM(F31:F34)</f>
        <v>481146.1</v>
      </c>
      <c r="G30" s="194">
        <f t="shared" si="12"/>
        <v>746049.4</v>
      </c>
      <c r="H30" s="194">
        <f t="shared" si="12"/>
        <v>477376.1</v>
      </c>
      <c r="I30" s="201">
        <f>G30/E30</f>
        <v>0.58906183034184489</v>
      </c>
      <c r="J30" s="201">
        <f>H30/F30</f>
        <v>0.99216454212140559</v>
      </c>
      <c r="K30" s="195"/>
      <c r="L30" s="195"/>
      <c r="M30" s="195"/>
      <c r="N30" s="272"/>
    </row>
    <row r="31" spans="1:14" x14ac:dyDescent="0.3">
      <c r="A31" s="731"/>
      <c r="B31" s="11" t="s">
        <v>221</v>
      </c>
      <c r="C31" s="35" t="s">
        <v>20</v>
      </c>
      <c r="D31" s="39"/>
      <c r="E31" s="39">
        <f>E37+E68</f>
        <v>7234.6</v>
      </c>
      <c r="F31" s="185">
        <f t="shared" ref="F31:H31" si="13">F37+F68</f>
        <v>3555.8999999999996</v>
      </c>
      <c r="G31" s="185">
        <f t="shared" si="13"/>
        <v>3519.3999999999996</v>
      </c>
      <c r="H31" s="185">
        <f t="shared" si="13"/>
        <v>3519.3999999999996</v>
      </c>
      <c r="I31" s="202">
        <f t="shared" ref="I31:I33" si="14">G31/E31</f>
        <v>0.48646780748071761</v>
      </c>
      <c r="J31" s="202">
        <f t="shared" ref="J31:J33" si="15">H31/F31</f>
        <v>0.98973536938609075</v>
      </c>
      <c r="K31" s="36"/>
      <c r="L31" s="36"/>
      <c r="M31" s="36"/>
      <c r="N31" s="37"/>
    </row>
    <row r="32" spans="1:14" x14ac:dyDescent="0.3">
      <c r="A32" s="731"/>
      <c r="B32" s="11" t="s">
        <v>246</v>
      </c>
      <c r="C32" s="35" t="s">
        <v>20</v>
      </c>
      <c r="D32" s="39"/>
      <c r="E32" s="39">
        <f>E38+E49+E58+E69+E105</f>
        <v>450160.6</v>
      </c>
      <c r="F32" s="185">
        <f t="shared" ref="F32:H32" si="16">F38+F49+F58+F69+F105</f>
        <v>217310</v>
      </c>
      <c r="G32" s="185">
        <f t="shared" si="16"/>
        <v>228002.9</v>
      </c>
      <c r="H32" s="185">
        <f t="shared" si="16"/>
        <v>215302.39999999999</v>
      </c>
      <c r="I32" s="202">
        <f t="shared" si="14"/>
        <v>0.50649234961922485</v>
      </c>
      <c r="J32" s="202">
        <f t="shared" si="15"/>
        <v>0.99076158483272736</v>
      </c>
      <c r="K32" s="36"/>
      <c r="L32" s="36"/>
      <c r="M32" s="36"/>
      <c r="N32" s="37"/>
    </row>
    <row r="33" spans="1:14" x14ac:dyDescent="0.3">
      <c r="A33" s="731"/>
      <c r="B33" s="11" t="s">
        <v>35</v>
      </c>
      <c r="C33" s="35" t="s">
        <v>20</v>
      </c>
      <c r="D33" s="39"/>
      <c r="E33" s="39">
        <f>E39+E50+E59+E70+E106</f>
        <v>809109.20000000007</v>
      </c>
      <c r="F33" s="185">
        <f t="shared" ref="F33:H33" si="17">F39+F50+F59+F70+F106</f>
        <v>260280.2</v>
      </c>
      <c r="G33" s="185">
        <f t="shared" si="17"/>
        <v>514527.10000000003</v>
      </c>
      <c r="H33" s="185">
        <f t="shared" si="17"/>
        <v>258554.30000000002</v>
      </c>
      <c r="I33" s="202">
        <f t="shared" si="14"/>
        <v>0.63591799475274779</v>
      </c>
      <c r="J33" s="202">
        <f t="shared" si="15"/>
        <v>0.99336906918006063</v>
      </c>
      <c r="K33" s="36"/>
      <c r="L33" s="36"/>
      <c r="M33" s="36"/>
      <c r="N33" s="37"/>
    </row>
    <row r="34" spans="1:14" ht="27" thickBot="1" x14ac:dyDescent="0.35">
      <c r="A34" s="732"/>
      <c r="B34" s="30" t="s">
        <v>208</v>
      </c>
      <c r="C34" s="38" t="s">
        <v>26</v>
      </c>
      <c r="D34" s="9"/>
      <c r="E34" s="9"/>
      <c r="F34" s="9"/>
      <c r="G34" s="9"/>
      <c r="H34" s="32"/>
      <c r="I34" s="32"/>
      <c r="J34" s="32"/>
      <c r="K34" s="42"/>
      <c r="L34" s="42"/>
      <c r="M34" s="42"/>
      <c r="N34" s="31"/>
    </row>
    <row r="35" spans="1:14" ht="66.599999999999994" customHeight="1" collapsed="1" x14ac:dyDescent="0.3">
      <c r="A35" s="718" t="s">
        <v>17</v>
      </c>
      <c r="B35" s="25" t="s">
        <v>48</v>
      </c>
      <c r="C35" s="186"/>
      <c r="D35" s="2"/>
      <c r="E35" s="2"/>
      <c r="F35" s="2"/>
      <c r="G35" s="2"/>
      <c r="H35" s="2"/>
      <c r="I35" s="77"/>
      <c r="J35" s="77"/>
      <c r="K35" s="178"/>
      <c r="L35" s="178"/>
      <c r="M35" s="178"/>
      <c r="N35" s="180"/>
    </row>
    <row r="36" spans="1:14" x14ac:dyDescent="0.3">
      <c r="A36" s="719"/>
      <c r="B36" s="213" t="s">
        <v>19</v>
      </c>
      <c r="C36" s="214" t="s">
        <v>20</v>
      </c>
      <c r="D36" s="203"/>
      <c r="E36" s="203">
        <f>SUM(E37:E39)</f>
        <v>15708.3</v>
      </c>
      <c r="F36" s="203">
        <f t="shared" ref="F36:H36" si="18">SUM(F37:F39)</f>
        <v>7435.8</v>
      </c>
      <c r="G36" s="203">
        <f t="shared" si="18"/>
        <v>12818.199999999999</v>
      </c>
      <c r="H36" s="203">
        <f t="shared" si="18"/>
        <v>7345.2000000000007</v>
      </c>
      <c r="I36" s="201">
        <f t="shared" ref="I36:J39" si="19">G36/E36</f>
        <v>0.81601446369116959</v>
      </c>
      <c r="J36" s="201">
        <f t="shared" si="19"/>
        <v>0.98781570241265237</v>
      </c>
      <c r="K36" s="215"/>
      <c r="L36" s="215"/>
      <c r="M36" s="215"/>
      <c r="N36" s="430"/>
    </row>
    <row r="37" spans="1:14" x14ac:dyDescent="0.3">
      <c r="A37" s="719"/>
      <c r="B37" s="10" t="s">
        <v>21</v>
      </c>
      <c r="C37" s="181" t="s">
        <v>49</v>
      </c>
      <c r="D37" s="185"/>
      <c r="E37" s="185">
        <v>2079.8000000000002</v>
      </c>
      <c r="F37" s="185">
        <v>1039.8</v>
      </c>
      <c r="G37" s="185">
        <f>0+H37</f>
        <v>1039.8</v>
      </c>
      <c r="H37" s="185">
        <v>1039.8</v>
      </c>
      <c r="I37" s="202">
        <f t="shared" si="19"/>
        <v>0.49995191845369741</v>
      </c>
      <c r="J37" s="202">
        <f t="shared" si="19"/>
        <v>1</v>
      </c>
      <c r="K37" s="139"/>
      <c r="L37" s="139"/>
      <c r="M37" s="139"/>
      <c r="N37" s="111"/>
    </row>
    <row r="38" spans="1:14" x14ac:dyDescent="0.3">
      <c r="A38" s="719"/>
      <c r="B38" s="10" t="s">
        <v>22</v>
      </c>
      <c r="C38" s="181" t="s">
        <v>49</v>
      </c>
      <c r="D38" s="185"/>
      <c r="E38" s="185">
        <v>10531</v>
      </c>
      <c r="F38" s="185">
        <v>5311</v>
      </c>
      <c r="G38" s="185">
        <f>4278+H38</f>
        <v>9506.7999999999993</v>
      </c>
      <c r="H38" s="185">
        <v>5228.8</v>
      </c>
      <c r="I38" s="202">
        <f t="shared" si="19"/>
        <v>0.90274427879593577</v>
      </c>
      <c r="J38" s="202">
        <f t="shared" si="19"/>
        <v>0.98452268875917914</v>
      </c>
      <c r="K38" s="139"/>
      <c r="L38" s="139"/>
      <c r="M38" s="139"/>
      <c r="N38" s="111"/>
    </row>
    <row r="39" spans="1:14" x14ac:dyDescent="0.3">
      <c r="A39" s="719"/>
      <c r="B39" s="11" t="s">
        <v>35</v>
      </c>
      <c r="C39" s="181" t="s">
        <v>20</v>
      </c>
      <c r="D39" s="185"/>
      <c r="E39" s="185">
        <v>3097.5</v>
      </c>
      <c r="F39" s="185">
        <v>1085</v>
      </c>
      <c r="G39" s="185">
        <f>1195+H39</f>
        <v>2271.6</v>
      </c>
      <c r="H39" s="185">
        <v>1076.5999999999999</v>
      </c>
      <c r="I39" s="202">
        <f t="shared" si="19"/>
        <v>0.733365617433414</v>
      </c>
      <c r="J39" s="202">
        <f t="shared" si="19"/>
        <v>0.99225806451612897</v>
      </c>
      <c r="K39" s="139"/>
      <c r="L39" s="139"/>
      <c r="M39" s="139"/>
      <c r="N39" s="111"/>
    </row>
    <row r="40" spans="1:14" x14ac:dyDescent="0.3">
      <c r="A40" s="719"/>
      <c r="B40" s="196" t="s">
        <v>24</v>
      </c>
      <c r="C40" s="216"/>
      <c r="D40" s="217"/>
      <c r="E40" s="216"/>
      <c r="F40" s="216"/>
      <c r="G40" s="216"/>
      <c r="H40" s="216"/>
      <c r="I40" s="199"/>
      <c r="J40" s="199"/>
      <c r="K40" s="460">
        <v>6</v>
      </c>
      <c r="L40" s="460">
        <v>6</v>
      </c>
      <c r="M40" s="460">
        <v>0</v>
      </c>
      <c r="N40" s="461"/>
    </row>
    <row r="41" spans="1:14" ht="26.4" x14ac:dyDescent="0.3">
      <c r="A41" s="719"/>
      <c r="B41" s="44" t="s">
        <v>50</v>
      </c>
      <c r="C41" s="45" t="s">
        <v>26</v>
      </c>
      <c r="D41" s="185"/>
      <c r="E41" s="219">
        <f>58.5+G41</f>
        <v>179</v>
      </c>
      <c r="F41" s="219">
        <v>58.5</v>
      </c>
      <c r="G41" s="219">
        <f>57.5+H41</f>
        <v>120.5</v>
      </c>
      <c r="H41" s="82">
        <v>63</v>
      </c>
      <c r="I41" s="220">
        <f>G41/E41</f>
        <v>0.67318435754189943</v>
      </c>
      <c r="J41" s="220">
        <f>H41/F41</f>
        <v>1.0769230769230769</v>
      </c>
      <c r="K41" s="139"/>
      <c r="L41" s="139"/>
      <c r="M41" s="139"/>
      <c r="N41" s="54"/>
    </row>
    <row r="42" spans="1:14" ht="39.6" x14ac:dyDescent="0.3">
      <c r="A42" s="719"/>
      <c r="B42" s="44" t="s">
        <v>51</v>
      </c>
      <c r="C42" s="45" t="s">
        <v>26</v>
      </c>
      <c r="D42" s="185"/>
      <c r="E42" s="82">
        <f>71+G42</f>
        <v>192</v>
      </c>
      <c r="F42" s="82">
        <v>71</v>
      </c>
      <c r="G42" s="82">
        <f>68+H42</f>
        <v>121</v>
      </c>
      <c r="H42" s="82">
        <v>53</v>
      </c>
      <c r="I42" s="220">
        <f>G42/E42</f>
        <v>0.63020833333333337</v>
      </c>
      <c r="J42" s="220">
        <f t="shared" ref="J42:J46" si="20">H42/F42</f>
        <v>0.74647887323943662</v>
      </c>
      <c r="K42" s="139"/>
      <c r="L42" s="139"/>
      <c r="M42" s="139"/>
      <c r="N42" s="111"/>
    </row>
    <row r="43" spans="1:14" x14ac:dyDescent="0.3">
      <c r="A43" s="719"/>
      <c r="B43" s="44" t="s">
        <v>52</v>
      </c>
      <c r="C43" s="45" t="s">
        <v>26</v>
      </c>
      <c r="D43" s="185"/>
      <c r="E43" s="82">
        <f>15+G43</f>
        <v>29.6</v>
      </c>
      <c r="F43" s="219">
        <v>15</v>
      </c>
      <c r="G43" s="219">
        <f>7.6+H43</f>
        <v>14.6</v>
      </c>
      <c r="H43" s="82">
        <v>7</v>
      </c>
      <c r="I43" s="220">
        <f t="shared" ref="I43:I45" si="21">G43/E43</f>
        <v>0.4932432432432432</v>
      </c>
      <c r="J43" s="220">
        <f t="shared" si="20"/>
        <v>0.46666666666666667</v>
      </c>
      <c r="K43" s="139"/>
      <c r="L43" s="139"/>
      <c r="M43" s="139"/>
      <c r="N43" s="111"/>
    </row>
    <row r="44" spans="1:14" ht="26.4" x14ac:dyDescent="0.3">
      <c r="A44" s="719"/>
      <c r="B44" s="44" t="s">
        <v>53</v>
      </c>
      <c r="C44" s="45"/>
      <c r="D44" s="185"/>
      <c r="E44" s="82">
        <f>83+G44</f>
        <v>245.7</v>
      </c>
      <c r="F44" s="219">
        <v>83</v>
      </c>
      <c r="G44" s="219">
        <f>80.5+H44</f>
        <v>162.69999999999999</v>
      </c>
      <c r="H44" s="219">
        <v>82.2</v>
      </c>
      <c r="I44" s="220">
        <f t="shared" si="21"/>
        <v>0.66218966218966213</v>
      </c>
      <c r="J44" s="220">
        <f t="shared" si="20"/>
        <v>0.99036144578313257</v>
      </c>
      <c r="K44" s="139"/>
      <c r="L44" s="139"/>
      <c r="M44" s="139"/>
      <c r="N44" s="111"/>
    </row>
    <row r="45" spans="1:14" ht="26.4" x14ac:dyDescent="0.3">
      <c r="A45" s="719"/>
      <c r="B45" s="44" t="s">
        <v>54</v>
      </c>
      <c r="C45" s="45" t="s">
        <v>30</v>
      </c>
      <c r="D45" s="185"/>
      <c r="E45" s="82">
        <f>740+G45</f>
        <v>1925</v>
      </c>
      <c r="F45" s="82">
        <v>740</v>
      </c>
      <c r="G45" s="82">
        <f>730+H45</f>
        <v>1185</v>
      </c>
      <c r="H45" s="82">
        <v>455</v>
      </c>
      <c r="I45" s="220">
        <f t="shared" si="21"/>
        <v>0.61558441558441557</v>
      </c>
      <c r="J45" s="220">
        <f t="shared" si="20"/>
        <v>0.61486486486486491</v>
      </c>
      <c r="K45" s="139"/>
      <c r="L45" s="139"/>
      <c r="M45" s="139"/>
      <c r="N45" s="111"/>
    </row>
    <row r="46" spans="1:14" ht="40.200000000000003" thickBot="1" x14ac:dyDescent="0.35">
      <c r="A46" s="720"/>
      <c r="B46" s="46" t="s">
        <v>55</v>
      </c>
      <c r="C46" s="47" t="s">
        <v>26</v>
      </c>
      <c r="D46" s="162"/>
      <c r="E46" s="221">
        <f>45+G46</f>
        <v>132</v>
      </c>
      <c r="F46" s="221">
        <v>45</v>
      </c>
      <c r="G46" s="221">
        <f>40+H46</f>
        <v>87</v>
      </c>
      <c r="H46" s="221">
        <v>47</v>
      </c>
      <c r="I46" s="347">
        <f>G46/E46</f>
        <v>0.65909090909090906</v>
      </c>
      <c r="J46" s="347">
        <f t="shared" si="20"/>
        <v>1.0444444444444445</v>
      </c>
      <c r="K46" s="43"/>
      <c r="L46" s="43"/>
      <c r="M46" s="43"/>
      <c r="N46" s="436"/>
    </row>
    <row r="47" spans="1:14" ht="79.2" x14ac:dyDescent="0.3">
      <c r="A47" s="718" t="s">
        <v>38</v>
      </c>
      <c r="B47" s="25" t="s">
        <v>57</v>
      </c>
      <c r="C47" s="186"/>
      <c r="D47" s="2"/>
      <c r="E47" s="2"/>
      <c r="F47" s="2"/>
      <c r="G47" s="2"/>
      <c r="H47" s="2"/>
      <c r="I47" s="77"/>
      <c r="J47" s="77"/>
      <c r="K47" s="178"/>
      <c r="L47" s="178"/>
      <c r="M47" s="178"/>
      <c r="N47" s="180"/>
    </row>
    <row r="48" spans="1:14" x14ac:dyDescent="0.3">
      <c r="A48" s="719"/>
      <c r="B48" s="223" t="s">
        <v>58</v>
      </c>
      <c r="C48" s="214" t="s">
        <v>20</v>
      </c>
      <c r="D48" s="203"/>
      <c r="E48" s="203">
        <f>SUM(E49:E50)</f>
        <v>459.4</v>
      </c>
      <c r="F48" s="203">
        <f t="shared" ref="F48:H48" si="22">SUM(F49:F50)</f>
        <v>58.4</v>
      </c>
      <c r="G48" s="203">
        <f t="shared" si="22"/>
        <v>456.8</v>
      </c>
      <c r="H48" s="203">
        <f t="shared" si="22"/>
        <v>56.2</v>
      </c>
      <c r="I48" s="201">
        <f>G48/E48</f>
        <v>0.99434044405746635</v>
      </c>
      <c r="J48" s="201">
        <f>H48/F48</f>
        <v>0.96232876712328774</v>
      </c>
      <c r="K48" s="204"/>
      <c r="L48" s="204"/>
      <c r="M48" s="204"/>
      <c r="N48" s="205"/>
    </row>
    <row r="49" spans="1:14" x14ac:dyDescent="0.3">
      <c r="A49" s="719"/>
      <c r="B49" s="224" t="s">
        <v>59</v>
      </c>
      <c r="C49" s="212" t="s">
        <v>20</v>
      </c>
      <c r="D49" s="206"/>
      <c r="E49" s="206">
        <f>150+F49</f>
        <v>150</v>
      </c>
      <c r="F49" s="206">
        <v>0</v>
      </c>
      <c r="G49" s="206">
        <f>150+H49</f>
        <v>150</v>
      </c>
      <c r="H49" s="206">
        <v>0</v>
      </c>
      <c r="I49" s="201">
        <f>G49/E49</f>
        <v>1</v>
      </c>
      <c r="J49" s="201">
        <v>0</v>
      </c>
      <c r="K49" s="207"/>
      <c r="L49" s="207"/>
      <c r="M49" s="207"/>
      <c r="N49" s="208"/>
    </row>
    <row r="50" spans="1:14" x14ac:dyDescent="0.3">
      <c r="A50" s="719"/>
      <c r="B50" s="211" t="s">
        <v>60</v>
      </c>
      <c r="C50" s="212" t="s">
        <v>20</v>
      </c>
      <c r="D50" s="206"/>
      <c r="E50" s="206">
        <v>309.39999999999998</v>
      </c>
      <c r="F50" s="206">
        <v>58.4</v>
      </c>
      <c r="G50" s="206">
        <f>250.6+H50</f>
        <v>306.8</v>
      </c>
      <c r="H50" s="206">
        <v>56.2</v>
      </c>
      <c r="I50" s="201">
        <f>G50/E50</f>
        <v>0.99159663865546233</v>
      </c>
      <c r="J50" s="201">
        <f t="shared" ref="J50" si="23">H50/F50</f>
        <v>0.96232876712328774</v>
      </c>
      <c r="K50" s="207"/>
      <c r="L50" s="207"/>
      <c r="M50" s="207"/>
      <c r="N50" s="208"/>
    </row>
    <row r="51" spans="1:14" x14ac:dyDescent="0.3">
      <c r="A51" s="719"/>
      <c r="B51" s="196" t="s">
        <v>24</v>
      </c>
      <c r="C51" s="216"/>
      <c r="D51" s="217"/>
      <c r="E51" s="217"/>
      <c r="F51" s="217"/>
      <c r="G51" s="217"/>
      <c r="H51" s="217"/>
      <c r="I51" s="199"/>
      <c r="J51" s="199"/>
      <c r="K51" s="458">
        <v>4</v>
      </c>
      <c r="L51" s="458">
        <v>4</v>
      </c>
      <c r="M51" s="458">
        <v>0</v>
      </c>
      <c r="N51" s="459"/>
    </row>
    <row r="52" spans="1:14" ht="26.4" x14ac:dyDescent="0.3">
      <c r="A52" s="719"/>
      <c r="B52" s="12" t="s">
        <v>61</v>
      </c>
      <c r="C52" s="181"/>
      <c r="D52" s="378">
        <v>0.12</v>
      </c>
      <c r="E52" s="219">
        <v>0.06</v>
      </c>
      <c r="F52" s="219">
        <v>0.06</v>
      </c>
      <c r="G52" s="378">
        <v>0.01</v>
      </c>
      <c r="H52" s="378">
        <v>0.01</v>
      </c>
      <c r="I52" s="220">
        <f>G52/E52</f>
        <v>0.16666666666666669</v>
      </c>
      <c r="J52" s="220">
        <f>H52/F52</f>
        <v>0.16666666666666669</v>
      </c>
      <c r="K52" s="182"/>
      <c r="L52" s="182"/>
      <c r="M52" s="182"/>
      <c r="N52" s="210"/>
    </row>
    <row r="53" spans="1:14" ht="26.4" x14ac:dyDescent="0.3">
      <c r="A53" s="719"/>
      <c r="B53" s="12" t="s">
        <v>62</v>
      </c>
      <c r="C53" s="13" t="s">
        <v>30</v>
      </c>
      <c r="D53" s="378">
        <v>10</v>
      </c>
      <c r="E53" s="219">
        <v>5</v>
      </c>
      <c r="F53" s="219">
        <v>5</v>
      </c>
      <c r="G53" s="378">
        <v>1</v>
      </c>
      <c r="H53" s="378">
        <v>1</v>
      </c>
      <c r="I53" s="220">
        <f t="shared" ref="I53:I54" si="24">G53/E53</f>
        <v>0.2</v>
      </c>
      <c r="J53" s="220">
        <f t="shared" ref="J53:J54" si="25">H53/F53</f>
        <v>0.2</v>
      </c>
      <c r="K53" s="182"/>
      <c r="L53" s="182"/>
      <c r="M53" s="182"/>
      <c r="N53" s="183"/>
    </row>
    <row r="54" spans="1:14" ht="26.4" x14ac:dyDescent="0.3">
      <c r="A54" s="719"/>
      <c r="B54" s="12" t="s">
        <v>63</v>
      </c>
      <c r="C54" s="13" t="s">
        <v>64</v>
      </c>
      <c r="D54" s="378">
        <v>132</v>
      </c>
      <c r="E54" s="219">
        <v>130</v>
      </c>
      <c r="F54" s="219">
        <v>130</v>
      </c>
      <c r="G54" s="378">
        <v>129</v>
      </c>
      <c r="H54" s="378">
        <v>129</v>
      </c>
      <c r="I54" s="220">
        <f t="shared" si="24"/>
        <v>0.99230769230769234</v>
      </c>
      <c r="J54" s="220">
        <f t="shared" si="25"/>
        <v>0.99230769230769234</v>
      </c>
      <c r="K54" s="182"/>
      <c r="L54" s="182"/>
      <c r="M54" s="182"/>
      <c r="N54" s="183"/>
    </row>
    <row r="55" spans="1:14" ht="30" customHeight="1" thickBot="1" x14ac:dyDescent="0.35">
      <c r="A55" s="720"/>
      <c r="B55" s="422" t="s">
        <v>65</v>
      </c>
      <c r="C55" s="184" t="s">
        <v>64</v>
      </c>
      <c r="D55" s="253">
        <v>0</v>
      </c>
      <c r="E55" s="253">
        <v>0</v>
      </c>
      <c r="F55" s="253">
        <v>0</v>
      </c>
      <c r="G55" s="253">
        <v>1</v>
      </c>
      <c r="H55" s="253">
        <v>1</v>
      </c>
      <c r="I55" s="347">
        <f>E55/G55</f>
        <v>0</v>
      </c>
      <c r="J55" s="347">
        <f>F55/H55</f>
        <v>0</v>
      </c>
      <c r="K55" s="43"/>
      <c r="L55" s="43"/>
      <c r="M55" s="43"/>
      <c r="N55" s="436"/>
    </row>
    <row r="56" spans="1:14" ht="55.5" customHeight="1" collapsed="1" x14ac:dyDescent="0.3">
      <c r="A56" s="718" t="s">
        <v>72</v>
      </c>
      <c r="B56" s="305" t="s">
        <v>66</v>
      </c>
      <c r="C56" s="186"/>
      <c r="D56" s="2"/>
      <c r="E56" s="2"/>
      <c r="F56" s="2"/>
      <c r="G56" s="2"/>
      <c r="H56" s="2"/>
      <c r="I56" s="77"/>
      <c r="J56" s="77"/>
      <c r="K56" s="178"/>
      <c r="L56" s="178"/>
      <c r="M56" s="178"/>
      <c r="N56" s="180"/>
    </row>
    <row r="57" spans="1:14" ht="17.25" customHeight="1" x14ac:dyDescent="0.3">
      <c r="A57" s="719"/>
      <c r="B57" s="414" t="s">
        <v>58</v>
      </c>
      <c r="C57" s="415" t="s">
        <v>20</v>
      </c>
      <c r="D57" s="416"/>
      <c r="E57" s="419">
        <f>SUM(E58:E59)</f>
        <v>1268.5</v>
      </c>
      <c r="F57" s="419">
        <f t="shared" ref="F57:H57" si="26">SUM(F58:F59)</f>
        <v>483.6</v>
      </c>
      <c r="G57" s="419">
        <f t="shared" si="26"/>
        <v>709.8</v>
      </c>
      <c r="H57" s="419">
        <f t="shared" si="26"/>
        <v>438.9</v>
      </c>
      <c r="I57" s="420">
        <f>G57/E57</f>
        <v>0.55955853370122188</v>
      </c>
      <c r="J57" s="420">
        <f>H57/F57</f>
        <v>0.90756823821339938</v>
      </c>
      <c r="K57" s="417"/>
      <c r="L57" s="417"/>
      <c r="M57" s="417"/>
      <c r="N57" s="418"/>
    </row>
    <row r="58" spans="1:14" ht="15" customHeight="1" x14ac:dyDescent="0.3">
      <c r="A58" s="719"/>
      <c r="B58" s="412" t="s">
        <v>74</v>
      </c>
      <c r="C58" s="413" t="s">
        <v>20</v>
      </c>
      <c r="D58" s="318"/>
      <c r="E58" s="421">
        <v>50</v>
      </c>
      <c r="F58" s="421">
        <v>50</v>
      </c>
      <c r="G58" s="421">
        <f>H58</f>
        <v>50</v>
      </c>
      <c r="H58" s="421">
        <v>50</v>
      </c>
      <c r="I58" s="420">
        <f t="shared" ref="I58:I59" si="27">G58/E58</f>
        <v>1</v>
      </c>
      <c r="J58" s="420">
        <f t="shared" ref="J58:J59" si="28">H58/F58</f>
        <v>1</v>
      </c>
      <c r="K58" s="72"/>
      <c r="L58" s="72"/>
      <c r="M58" s="72"/>
      <c r="N58" s="411"/>
    </row>
    <row r="59" spans="1:14" x14ac:dyDescent="0.3">
      <c r="A59" s="719"/>
      <c r="B59" s="10" t="s">
        <v>35</v>
      </c>
      <c r="C59" s="181" t="s">
        <v>20</v>
      </c>
      <c r="D59" s="185"/>
      <c r="E59" s="206">
        <v>1218.5</v>
      </c>
      <c r="F59" s="206">
        <v>433.6</v>
      </c>
      <c r="G59" s="465">
        <f>270.9+H59</f>
        <v>659.8</v>
      </c>
      <c r="H59" s="206">
        <v>388.9</v>
      </c>
      <c r="I59" s="420">
        <f t="shared" si="27"/>
        <v>0.54148543290931472</v>
      </c>
      <c r="J59" s="420">
        <f t="shared" si="28"/>
        <v>0.89690959409594084</v>
      </c>
      <c r="K59" s="139"/>
      <c r="L59" s="139"/>
      <c r="M59" s="139"/>
      <c r="N59" s="111"/>
    </row>
    <row r="60" spans="1:14" collapsed="1" x14ac:dyDescent="0.3">
      <c r="A60" s="719"/>
      <c r="B60" s="306" t="s">
        <v>24</v>
      </c>
      <c r="C60" s="26"/>
      <c r="D60" s="48"/>
      <c r="E60" s="48"/>
      <c r="F60" s="26"/>
      <c r="G60" s="48"/>
      <c r="H60" s="26"/>
      <c r="I60" s="23"/>
      <c r="J60" s="23"/>
      <c r="K60" s="460">
        <v>5</v>
      </c>
      <c r="L60" s="460">
        <v>5</v>
      </c>
      <c r="M60" s="460">
        <v>0</v>
      </c>
      <c r="N60" s="461"/>
    </row>
    <row r="61" spans="1:14" ht="28.95" customHeight="1" x14ac:dyDescent="0.3">
      <c r="A61" s="719"/>
      <c r="B61" s="274" t="s">
        <v>318</v>
      </c>
      <c r="C61" s="13" t="s">
        <v>64</v>
      </c>
      <c r="D61" s="349">
        <v>150</v>
      </c>
      <c r="E61" s="349">
        <v>165</v>
      </c>
      <c r="F61" s="349">
        <v>160</v>
      </c>
      <c r="G61" s="349">
        <v>160</v>
      </c>
      <c r="H61" s="349">
        <v>160</v>
      </c>
      <c r="I61" s="134">
        <f>G61/E61</f>
        <v>0.96969696969696972</v>
      </c>
      <c r="J61" s="134">
        <f>H61/F61</f>
        <v>1</v>
      </c>
      <c r="K61" s="139"/>
      <c r="L61" s="139"/>
      <c r="M61" s="139"/>
      <c r="N61" s="54"/>
    </row>
    <row r="62" spans="1:14" ht="39.6" x14ac:dyDescent="0.3">
      <c r="A62" s="719"/>
      <c r="B62" s="55" t="s">
        <v>68</v>
      </c>
      <c r="C62" s="13" t="s">
        <v>30</v>
      </c>
      <c r="D62" s="349">
        <v>10000</v>
      </c>
      <c r="E62" s="384">
        <v>14000</v>
      </c>
      <c r="F62" s="384">
        <v>12000</v>
      </c>
      <c r="G62" s="384">
        <v>12000</v>
      </c>
      <c r="H62" s="384">
        <v>12000</v>
      </c>
      <c r="I62" s="134">
        <f>G62/E62</f>
        <v>0.8571428571428571</v>
      </c>
      <c r="J62" s="134">
        <f t="shared" ref="J62:J65" si="29">H62/F62</f>
        <v>1</v>
      </c>
      <c r="K62" s="182"/>
      <c r="L62" s="182"/>
      <c r="M62" s="182"/>
      <c r="N62" s="187"/>
    </row>
    <row r="63" spans="1:14" ht="26.4" x14ac:dyDescent="0.3">
      <c r="A63" s="719"/>
      <c r="B63" s="55" t="s">
        <v>69</v>
      </c>
      <c r="C63" s="13" t="s">
        <v>64</v>
      </c>
      <c r="D63" s="349">
        <v>8</v>
      </c>
      <c r="E63" s="349">
        <v>10</v>
      </c>
      <c r="F63" s="349">
        <v>9</v>
      </c>
      <c r="G63" s="349">
        <v>9</v>
      </c>
      <c r="H63" s="349">
        <v>9</v>
      </c>
      <c r="I63" s="134">
        <f t="shared" ref="I63:I65" si="30">G63/E63</f>
        <v>0.9</v>
      </c>
      <c r="J63" s="134">
        <f t="shared" si="29"/>
        <v>1</v>
      </c>
      <c r="K63" s="182"/>
      <c r="L63" s="182"/>
      <c r="M63" s="182"/>
      <c r="N63" s="183"/>
    </row>
    <row r="64" spans="1:14" ht="26.4" x14ac:dyDescent="0.3">
      <c r="A64" s="719"/>
      <c r="B64" s="55" t="s">
        <v>70</v>
      </c>
      <c r="C64" s="13" t="s">
        <v>64</v>
      </c>
      <c r="D64" s="349">
        <v>14</v>
      </c>
      <c r="E64" s="349">
        <v>16</v>
      </c>
      <c r="F64" s="349">
        <v>15</v>
      </c>
      <c r="G64" s="349">
        <v>15</v>
      </c>
      <c r="H64" s="349">
        <v>15</v>
      </c>
      <c r="I64" s="134">
        <f t="shared" si="30"/>
        <v>0.9375</v>
      </c>
      <c r="J64" s="134">
        <f t="shared" si="29"/>
        <v>1</v>
      </c>
      <c r="K64" s="182"/>
      <c r="L64" s="182"/>
      <c r="M64" s="182"/>
      <c r="N64" s="183"/>
    </row>
    <row r="65" spans="1:14" ht="27" thickBot="1" x14ac:dyDescent="0.35">
      <c r="A65" s="720"/>
      <c r="B65" s="454" t="s">
        <v>71</v>
      </c>
      <c r="C65" s="184" t="s">
        <v>64</v>
      </c>
      <c r="D65" s="350">
        <v>14</v>
      </c>
      <c r="E65" s="350">
        <v>15</v>
      </c>
      <c r="F65" s="350">
        <v>14</v>
      </c>
      <c r="G65" s="350">
        <v>14</v>
      </c>
      <c r="H65" s="350">
        <v>14</v>
      </c>
      <c r="I65" s="86">
        <f t="shared" si="30"/>
        <v>0.93333333333333335</v>
      </c>
      <c r="J65" s="86">
        <f t="shared" si="29"/>
        <v>1</v>
      </c>
      <c r="K65" s="179"/>
      <c r="L65" s="179"/>
      <c r="M65" s="179"/>
      <c r="N65" s="176"/>
    </row>
    <row r="66" spans="1:14" ht="66" collapsed="1" x14ac:dyDescent="0.3">
      <c r="A66" s="718" t="s">
        <v>47</v>
      </c>
      <c r="B66" s="453" t="s">
        <v>73</v>
      </c>
      <c r="C66" s="70"/>
      <c r="D66" s="73"/>
      <c r="E66" s="70"/>
      <c r="F66" s="70"/>
      <c r="G66" s="70"/>
      <c r="H66" s="70"/>
      <c r="I66" s="71"/>
      <c r="J66" s="71"/>
      <c r="K66" s="72"/>
      <c r="L66" s="72"/>
      <c r="M66" s="72"/>
      <c r="N66" s="449"/>
    </row>
    <row r="67" spans="1:14" x14ac:dyDescent="0.3">
      <c r="A67" s="719"/>
      <c r="B67" s="191" t="s">
        <v>19</v>
      </c>
      <c r="C67" s="192" t="s">
        <v>20</v>
      </c>
      <c r="D67" s="229"/>
      <c r="E67" s="229">
        <f>SUM(E68:E70)</f>
        <v>1242894.3999999999</v>
      </c>
      <c r="F67" s="229">
        <f t="shared" ref="F67:H67" si="31">SUM(F68:F70)</f>
        <v>470820.30000000005</v>
      </c>
      <c r="G67" s="229">
        <f t="shared" si="31"/>
        <v>726043.10000000009</v>
      </c>
      <c r="H67" s="229">
        <f t="shared" si="31"/>
        <v>467307.9</v>
      </c>
      <c r="I67" s="231">
        <f>G67/E67</f>
        <v>0.58415509797131615</v>
      </c>
      <c r="J67" s="231">
        <f>H67/F67</f>
        <v>0.99253982889013059</v>
      </c>
      <c r="K67" s="52"/>
      <c r="L67" s="52"/>
      <c r="M67" s="52"/>
      <c r="N67" s="53"/>
    </row>
    <row r="68" spans="1:14" x14ac:dyDescent="0.3">
      <c r="A68" s="719"/>
      <c r="B68" s="10" t="s">
        <v>21</v>
      </c>
      <c r="C68" s="181" t="s">
        <v>20</v>
      </c>
      <c r="D68" s="229"/>
      <c r="E68" s="228">
        <v>5154.8</v>
      </c>
      <c r="F68" s="228">
        <v>2516.1</v>
      </c>
      <c r="G68" s="228">
        <f>0+H68</f>
        <v>2479.6</v>
      </c>
      <c r="H68" s="228">
        <v>2479.6</v>
      </c>
      <c r="I68" s="232">
        <f t="shared" ref="I68:I70" si="32">G68/E68</f>
        <v>0.48102739194537125</v>
      </c>
      <c r="J68" s="232">
        <f t="shared" ref="J68:J70" si="33">H68/F68</f>
        <v>0.98549342236000159</v>
      </c>
      <c r="K68" s="182"/>
      <c r="L68" s="182"/>
      <c r="M68" s="182"/>
      <c r="N68" s="183"/>
    </row>
    <row r="69" spans="1:14" x14ac:dyDescent="0.3">
      <c r="A69" s="719"/>
      <c r="B69" s="10" t="s">
        <v>74</v>
      </c>
      <c r="C69" s="51" t="s">
        <v>20</v>
      </c>
      <c r="D69" s="228"/>
      <c r="E69" s="228">
        <v>438979.6</v>
      </c>
      <c r="F69" s="228">
        <v>211499</v>
      </c>
      <c r="G69" s="228">
        <f>8272.5+H69</f>
        <v>217846.1</v>
      </c>
      <c r="H69" s="228">
        <v>209573.6</v>
      </c>
      <c r="I69" s="232">
        <f t="shared" si="32"/>
        <v>0.49625563465819372</v>
      </c>
      <c r="J69" s="232">
        <f t="shared" si="33"/>
        <v>0.99089641085773461</v>
      </c>
      <c r="K69" s="52"/>
      <c r="L69" s="52"/>
      <c r="M69" s="52"/>
      <c r="N69" s="53"/>
    </row>
    <row r="70" spans="1:14" x14ac:dyDescent="0.3">
      <c r="A70" s="719"/>
      <c r="B70" s="10" t="s">
        <v>35</v>
      </c>
      <c r="C70" s="51" t="s">
        <v>20</v>
      </c>
      <c r="D70" s="228"/>
      <c r="E70" s="230">
        <v>798760</v>
      </c>
      <c r="F70" s="228">
        <v>256805.2</v>
      </c>
      <c r="G70" s="228">
        <f>250462.7+H70</f>
        <v>505717.4</v>
      </c>
      <c r="H70" s="228">
        <v>255254.7</v>
      </c>
      <c r="I70" s="232">
        <f t="shared" si="32"/>
        <v>0.63312809855275676</v>
      </c>
      <c r="J70" s="232">
        <f t="shared" si="33"/>
        <v>0.99396234967204711</v>
      </c>
      <c r="K70" s="52"/>
      <c r="L70" s="52"/>
      <c r="M70" s="52"/>
      <c r="N70" s="53"/>
    </row>
    <row r="71" spans="1:14" x14ac:dyDescent="0.3">
      <c r="A71" s="719"/>
      <c r="B71" s="61" t="s">
        <v>75</v>
      </c>
      <c r="C71" s="26"/>
      <c r="D71" s="48"/>
      <c r="E71" s="26"/>
      <c r="F71" s="26"/>
      <c r="G71" s="26"/>
      <c r="H71" s="26"/>
      <c r="I71" s="23"/>
      <c r="J71" s="23"/>
      <c r="K71" s="458">
        <v>31</v>
      </c>
      <c r="L71" s="458">
        <v>31</v>
      </c>
      <c r="M71" s="458">
        <v>0</v>
      </c>
      <c r="N71" s="459"/>
    </row>
    <row r="72" spans="1:14" ht="39.6" x14ac:dyDescent="0.3">
      <c r="A72" s="719"/>
      <c r="B72" s="60" t="s">
        <v>76</v>
      </c>
      <c r="C72" s="82" t="s">
        <v>32</v>
      </c>
      <c r="D72" s="219"/>
      <c r="E72" s="82">
        <v>9</v>
      </c>
      <c r="F72" s="82">
        <v>3</v>
      </c>
      <c r="G72" s="82">
        <f>2+H72</f>
        <v>5</v>
      </c>
      <c r="H72" s="82">
        <v>3</v>
      </c>
      <c r="I72" s="220">
        <f>G72/E72</f>
        <v>0.55555555555555558</v>
      </c>
      <c r="J72" s="220">
        <f>H72/F72</f>
        <v>1</v>
      </c>
      <c r="K72" s="52"/>
      <c r="L72" s="52"/>
      <c r="M72" s="52"/>
      <c r="N72" s="53"/>
    </row>
    <row r="73" spans="1:14" ht="26.4" x14ac:dyDescent="0.3">
      <c r="A73" s="719"/>
      <c r="B73" s="60" t="s">
        <v>77</v>
      </c>
      <c r="C73" s="82" t="s">
        <v>32</v>
      </c>
      <c r="D73" s="219"/>
      <c r="E73" s="82">
        <v>7</v>
      </c>
      <c r="F73" s="82">
        <v>3</v>
      </c>
      <c r="G73" s="82">
        <f>1+H73</f>
        <v>3</v>
      </c>
      <c r="H73" s="82">
        <v>2</v>
      </c>
      <c r="I73" s="220">
        <f t="shared" ref="I73:I93" si="34">G73/E73</f>
        <v>0.42857142857142855</v>
      </c>
      <c r="J73" s="220">
        <f>H73/F73</f>
        <v>0.66666666666666663</v>
      </c>
      <c r="K73" s="52"/>
      <c r="L73" s="52"/>
      <c r="M73" s="52"/>
      <c r="N73" s="53"/>
    </row>
    <row r="74" spans="1:14" ht="26.4" x14ac:dyDescent="0.3">
      <c r="A74" s="719"/>
      <c r="B74" s="60" t="s">
        <v>78</v>
      </c>
      <c r="C74" s="82" t="s">
        <v>32</v>
      </c>
      <c r="D74" s="219"/>
      <c r="E74" s="82">
        <v>2</v>
      </c>
      <c r="F74" s="82">
        <v>1</v>
      </c>
      <c r="G74" s="82">
        <v>0</v>
      </c>
      <c r="H74" s="82">
        <v>0</v>
      </c>
      <c r="I74" s="220">
        <f>G74/E74</f>
        <v>0</v>
      </c>
      <c r="J74" s="220">
        <f t="shared" ref="J74:J95" si="35">H74/F74</f>
        <v>0</v>
      </c>
      <c r="K74" s="52"/>
      <c r="L74" s="52"/>
      <c r="M74" s="52"/>
      <c r="N74" s="53"/>
    </row>
    <row r="75" spans="1:14" ht="26.4" x14ac:dyDescent="0.3">
      <c r="A75" s="719"/>
      <c r="B75" s="60" t="s">
        <v>79</v>
      </c>
      <c r="C75" s="82" t="s">
        <v>32</v>
      </c>
      <c r="D75" s="219"/>
      <c r="E75" s="82">
        <v>2</v>
      </c>
      <c r="F75" s="82">
        <v>1</v>
      </c>
      <c r="G75" s="82">
        <v>1</v>
      </c>
      <c r="H75" s="82">
        <v>1</v>
      </c>
      <c r="I75" s="220">
        <f t="shared" si="34"/>
        <v>0.5</v>
      </c>
      <c r="J75" s="220">
        <f t="shared" si="35"/>
        <v>1</v>
      </c>
      <c r="K75" s="52"/>
      <c r="L75" s="52"/>
      <c r="M75" s="52"/>
      <c r="N75" s="53"/>
    </row>
    <row r="76" spans="1:14" ht="26.4" x14ac:dyDescent="0.3">
      <c r="A76" s="719"/>
      <c r="B76" s="60" t="s">
        <v>80</v>
      </c>
      <c r="C76" s="82" t="s">
        <v>32</v>
      </c>
      <c r="D76" s="219"/>
      <c r="E76" s="82">
        <v>2</v>
      </c>
      <c r="F76" s="82">
        <v>1</v>
      </c>
      <c r="G76" s="82">
        <f>0+H76</f>
        <v>3</v>
      </c>
      <c r="H76" s="82">
        <v>3</v>
      </c>
      <c r="I76" s="220">
        <f t="shared" si="34"/>
        <v>1.5</v>
      </c>
      <c r="J76" s="220">
        <f t="shared" si="35"/>
        <v>3</v>
      </c>
      <c r="K76" s="52"/>
      <c r="L76" s="52"/>
      <c r="M76" s="52"/>
      <c r="N76" s="53"/>
    </row>
    <row r="77" spans="1:14" ht="26.4" x14ac:dyDescent="0.3">
      <c r="A77" s="719"/>
      <c r="B77" s="60" t="s">
        <v>81</v>
      </c>
      <c r="C77" s="82" t="s">
        <v>32</v>
      </c>
      <c r="D77" s="219"/>
      <c r="E77" s="82">
        <v>11</v>
      </c>
      <c r="F77" s="82">
        <v>6</v>
      </c>
      <c r="G77" s="82">
        <f>1+H77</f>
        <v>2</v>
      </c>
      <c r="H77" s="82">
        <v>1</v>
      </c>
      <c r="I77" s="220">
        <f>G77/E77</f>
        <v>0.18181818181818182</v>
      </c>
      <c r="J77" s="220">
        <f t="shared" si="35"/>
        <v>0.16666666666666666</v>
      </c>
      <c r="K77" s="52"/>
      <c r="L77" s="52"/>
      <c r="M77" s="52"/>
      <c r="N77" s="53"/>
    </row>
    <row r="78" spans="1:14" ht="39.6" x14ac:dyDescent="0.3">
      <c r="A78" s="719"/>
      <c r="B78" s="60" t="s">
        <v>82</v>
      </c>
      <c r="C78" s="82" t="s">
        <v>32</v>
      </c>
      <c r="D78" s="219"/>
      <c r="E78" s="82">
        <v>12</v>
      </c>
      <c r="F78" s="82">
        <v>4</v>
      </c>
      <c r="G78" s="82">
        <f>2+H78</f>
        <v>6</v>
      </c>
      <c r="H78" s="82">
        <v>4</v>
      </c>
      <c r="I78" s="220">
        <f>G78/E78</f>
        <v>0.5</v>
      </c>
      <c r="J78" s="220">
        <f t="shared" si="35"/>
        <v>1</v>
      </c>
      <c r="K78" s="52"/>
      <c r="L78" s="52"/>
      <c r="M78" s="52"/>
      <c r="N78" s="53"/>
    </row>
    <row r="79" spans="1:14" ht="52.8" x14ac:dyDescent="0.3">
      <c r="A79" s="719"/>
      <c r="B79" s="60" t="s">
        <v>83</v>
      </c>
      <c r="C79" s="82" t="s">
        <v>32</v>
      </c>
      <c r="D79" s="219"/>
      <c r="E79" s="82">
        <v>9</v>
      </c>
      <c r="F79" s="82">
        <v>3</v>
      </c>
      <c r="G79" s="82">
        <f>3+H79</f>
        <v>8</v>
      </c>
      <c r="H79" s="82">
        <v>5</v>
      </c>
      <c r="I79" s="220">
        <f t="shared" si="34"/>
        <v>0.88888888888888884</v>
      </c>
      <c r="J79" s="220">
        <f t="shared" si="35"/>
        <v>1.6666666666666667</v>
      </c>
      <c r="K79" s="52"/>
      <c r="L79" s="52"/>
      <c r="M79" s="52"/>
      <c r="N79" s="53"/>
    </row>
    <row r="80" spans="1:14" ht="26.4" x14ac:dyDescent="0.3">
      <c r="A80" s="719"/>
      <c r="B80" s="60" t="s">
        <v>84</v>
      </c>
      <c r="C80" s="82" t="s">
        <v>30</v>
      </c>
      <c r="D80" s="219"/>
      <c r="E80" s="82">
        <v>2217</v>
      </c>
      <c r="F80" s="82">
        <v>2217</v>
      </c>
      <c r="G80" s="82">
        <v>2007</v>
      </c>
      <c r="H80" s="82">
        <v>1985</v>
      </c>
      <c r="I80" s="220">
        <f t="shared" si="34"/>
        <v>0.90527740189445194</v>
      </c>
      <c r="J80" s="220">
        <f t="shared" si="35"/>
        <v>0.89535408209291834</v>
      </c>
      <c r="K80" s="52"/>
      <c r="L80" s="52"/>
      <c r="M80" s="52"/>
      <c r="N80" s="53"/>
    </row>
    <row r="81" spans="1:14" ht="26.4" x14ac:dyDescent="0.3">
      <c r="A81" s="719"/>
      <c r="B81" s="60" t="s">
        <v>85</v>
      </c>
      <c r="C81" s="82" t="s">
        <v>30</v>
      </c>
      <c r="D81" s="219"/>
      <c r="E81" s="82">
        <v>3972</v>
      </c>
      <c r="F81" s="82">
        <v>3828</v>
      </c>
      <c r="G81" s="82">
        <v>3794</v>
      </c>
      <c r="H81" s="82">
        <v>3811</v>
      </c>
      <c r="I81" s="220">
        <f t="shared" si="34"/>
        <v>0.95518630412890226</v>
      </c>
      <c r="J81" s="220">
        <f t="shared" si="35"/>
        <v>0.99555903866248696</v>
      </c>
      <c r="K81" s="52"/>
      <c r="L81" s="52"/>
      <c r="M81" s="52"/>
      <c r="N81" s="53"/>
    </row>
    <row r="82" spans="1:14" ht="26.4" x14ac:dyDescent="0.3">
      <c r="A82" s="719"/>
      <c r="B82" s="60" t="s">
        <v>86</v>
      </c>
      <c r="C82" s="82" t="s">
        <v>30</v>
      </c>
      <c r="D82" s="219"/>
      <c r="E82" s="82">
        <v>1932</v>
      </c>
      <c r="F82" s="82">
        <v>1932</v>
      </c>
      <c r="G82" s="82">
        <v>1932</v>
      </c>
      <c r="H82" s="82">
        <v>3102</v>
      </c>
      <c r="I82" s="220">
        <f t="shared" si="34"/>
        <v>1</v>
      </c>
      <c r="J82" s="220">
        <f t="shared" si="35"/>
        <v>1.6055900621118013</v>
      </c>
      <c r="K82" s="52"/>
      <c r="L82" s="52"/>
      <c r="M82" s="52"/>
      <c r="N82" s="53"/>
    </row>
    <row r="83" spans="1:14" ht="26.4" x14ac:dyDescent="0.3">
      <c r="A83" s="719"/>
      <c r="B83" s="60" t="s">
        <v>87</v>
      </c>
      <c r="C83" s="82" t="s">
        <v>30</v>
      </c>
      <c r="D83" s="219"/>
      <c r="E83" s="82">
        <v>5950</v>
      </c>
      <c r="F83" s="82">
        <v>5950</v>
      </c>
      <c r="G83" s="82">
        <v>4150</v>
      </c>
      <c r="H83" s="82">
        <v>4852</v>
      </c>
      <c r="I83" s="220">
        <f t="shared" si="34"/>
        <v>0.69747899159663862</v>
      </c>
      <c r="J83" s="220">
        <f t="shared" si="35"/>
        <v>0.81546218487394961</v>
      </c>
      <c r="K83" s="52"/>
      <c r="L83" s="52"/>
      <c r="M83" s="52"/>
      <c r="N83" s="53"/>
    </row>
    <row r="84" spans="1:14" ht="26.4" x14ac:dyDescent="0.3">
      <c r="A84" s="719"/>
      <c r="B84" s="60" t="s">
        <v>88</v>
      </c>
      <c r="C84" s="82" t="s">
        <v>32</v>
      </c>
      <c r="D84" s="219"/>
      <c r="E84" s="82">
        <v>168</v>
      </c>
      <c r="F84" s="82">
        <v>48</v>
      </c>
      <c r="G84" s="82">
        <f>56+H84</f>
        <v>104</v>
      </c>
      <c r="H84" s="82">
        <v>48</v>
      </c>
      <c r="I84" s="220">
        <f t="shared" si="34"/>
        <v>0.61904761904761907</v>
      </c>
      <c r="J84" s="220">
        <f t="shared" si="35"/>
        <v>1</v>
      </c>
      <c r="K84" s="52"/>
      <c r="L84" s="52"/>
      <c r="M84" s="52"/>
      <c r="N84" s="53"/>
    </row>
    <row r="85" spans="1:14" ht="30" customHeight="1" x14ac:dyDescent="0.3">
      <c r="A85" s="719"/>
      <c r="B85" s="401" t="s">
        <v>89</v>
      </c>
      <c r="C85" s="82" t="s">
        <v>30</v>
      </c>
      <c r="D85" s="219"/>
      <c r="E85" s="82">
        <v>410</v>
      </c>
      <c r="F85" s="82">
        <v>410</v>
      </c>
      <c r="G85" s="82">
        <v>456</v>
      </c>
      <c r="H85" s="82">
        <v>416</v>
      </c>
      <c r="I85" s="220">
        <f t="shared" si="34"/>
        <v>1.1121951219512196</v>
      </c>
      <c r="J85" s="220">
        <f t="shared" si="35"/>
        <v>1.0146341463414634</v>
      </c>
      <c r="K85" s="52"/>
      <c r="L85" s="52"/>
      <c r="M85" s="52"/>
      <c r="N85" s="53"/>
    </row>
    <row r="86" spans="1:14" ht="52.8" x14ac:dyDescent="0.3">
      <c r="A86" s="719"/>
      <c r="B86" s="60" t="s">
        <v>90</v>
      </c>
      <c r="C86" s="82" t="s">
        <v>30</v>
      </c>
      <c r="D86" s="219"/>
      <c r="E86" s="82">
        <v>430</v>
      </c>
      <c r="F86" s="82">
        <v>430</v>
      </c>
      <c r="G86" s="82">
        <v>481</v>
      </c>
      <c r="H86" s="82">
        <v>443</v>
      </c>
      <c r="I86" s="220">
        <f>G86/E86</f>
        <v>1.1186046511627907</v>
      </c>
      <c r="J86" s="220">
        <f t="shared" si="35"/>
        <v>1.0302325581395348</v>
      </c>
      <c r="K86" s="52"/>
      <c r="L86" s="52"/>
      <c r="M86" s="52"/>
      <c r="N86" s="53"/>
    </row>
    <row r="87" spans="1:14" ht="26.4" x14ac:dyDescent="0.3">
      <c r="A87" s="719"/>
      <c r="B87" s="60" t="s">
        <v>91</v>
      </c>
      <c r="C87" s="82" t="s">
        <v>32</v>
      </c>
      <c r="D87" s="219"/>
      <c r="E87" s="82">
        <v>42</v>
      </c>
      <c r="F87" s="82">
        <v>15</v>
      </c>
      <c r="G87" s="82">
        <f>12+H87</f>
        <v>27</v>
      </c>
      <c r="H87" s="82">
        <v>15</v>
      </c>
      <c r="I87" s="220">
        <f t="shared" si="34"/>
        <v>0.6428571428571429</v>
      </c>
      <c r="J87" s="220">
        <f t="shared" si="35"/>
        <v>1</v>
      </c>
      <c r="K87" s="52"/>
      <c r="L87" s="52"/>
      <c r="M87" s="52"/>
      <c r="N87" s="53"/>
    </row>
    <row r="88" spans="1:14" ht="26.4" x14ac:dyDescent="0.3">
      <c r="A88" s="719"/>
      <c r="B88" s="60" t="s">
        <v>92</v>
      </c>
      <c r="C88" s="82" t="s">
        <v>30</v>
      </c>
      <c r="D88" s="219"/>
      <c r="E88" s="82">
        <v>4200</v>
      </c>
      <c r="F88" s="82">
        <v>4100</v>
      </c>
      <c r="G88" s="82">
        <v>6184</v>
      </c>
      <c r="H88" s="82">
        <v>3325</v>
      </c>
      <c r="I88" s="220">
        <f t="shared" si="34"/>
        <v>1.4723809523809523</v>
      </c>
      <c r="J88" s="220">
        <f t="shared" si="35"/>
        <v>0.81097560975609762</v>
      </c>
      <c r="K88" s="52"/>
      <c r="L88" s="52"/>
      <c r="M88" s="52"/>
      <c r="N88" s="53"/>
    </row>
    <row r="89" spans="1:14" ht="26.4" x14ac:dyDescent="0.3">
      <c r="A89" s="719"/>
      <c r="B89" s="60" t="s">
        <v>93</v>
      </c>
      <c r="C89" s="82" t="s">
        <v>32</v>
      </c>
      <c r="D89" s="219"/>
      <c r="E89" s="82">
        <v>1400</v>
      </c>
      <c r="F89" s="82">
        <v>1300</v>
      </c>
      <c r="G89" s="82">
        <v>2853</v>
      </c>
      <c r="H89" s="82">
        <v>2792</v>
      </c>
      <c r="I89" s="220">
        <f>G89/E89</f>
        <v>2.0378571428571428</v>
      </c>
      <c r="J89" s="220">
        <f>H89/F89</f>
        <v>2.1476923076923078</v>
      </c>
      <c r="K89" s="52"/>
      <c r="L89" s="52"/>
      <c r="M89" s="52"/>
      <c r="N89" s="53"/>
    </row>
    <row r="90" spans="1:14" ht="52.8" x14ac:dyDescent="0.3">
      <c r="A90" s="719"/>
      <c r="B90" s="60" t="s">
        <v>94</v>
      </c>
      <c r="C90" s="82" t="s">
        <v>32</v>
      </c>
      <c r="D90" s="219"/>
      <c r="E90" s="82">
        <v>6</v>
      </c>
      <c r="F90" s="82">
        <v>6</v>
      </c>
      <c r="G90" s="82">
        <v>10</v>
      </c>
      <c r="H90" s="82">
        <v>10</v>
      </c>
      <c r="I90" s="220">
        <f t="shared" si="34"/>
        <v>1.6666666666666667</v>
      </c>
      <c r="J90" s="220">
        <f t="shared" si="35"/>
        <v>1.6666666666666667</v>
      </c>
      <c r="K90" s="52"/>
      <c r="L90" s="52"/>
      <c r="M90" s="52"/>
      <c r="N90" s="53"/>
    </row>
    <row r="91" spans="1:14" ht="26.4" x14ac:dyDescent="0.3">
      <c r="A91" s="719"/>
      <c r="B91" s="60" t="s">
        <v>95</v>
      </c>
      <c r="C91" s="82" t="s">
        <v>30</v>
      </c>
      <c r="D91" s="219"/>
      <c r="E91" s="82">
        <v>15</v>
      </c>
      <c r="F91" s="82">
        <v>12</v>
      </c>
      <c r="G91" s="82">
        <v>13</v>
      </c>
      <c r="H91" s="82">
        <v>13</v>
      </c>
      <c r="I91" s="220">
        <f>G91/E91</f>
        <v>0.8666666666666667</v>
      </c>
      <c r="J91" s="220">
        <f>H91/F91</f>
        <v>1.0833333333333333</v>
      </c>
      <c r="K91" s="52"/>
      <c r="L91" s="52"/>
      <c r="M91" s="52"/>
      <c r="N91" s="53"/>
    </row>
    <row r="92" spans="1:14" ht="26.4" x14ac:dyDescent="0.3">
      <c r="A92" s="719"/>
      <c r="B92" s="60" t="s">
        <v>96</v>
      </c>
      <c r="C92" s="82" t="s">
        <v>32</v>
      </c>
      <c r="D92" s="219"/>
      <c r="E92" s="82">
        <v>7</v>
      </c>
      <c r="F92" s="82">
        <v>7</v>
      </c>
      <c r="G92" s="82">
        <v>7</v>
      </c>
      <c r="H92" s="82">
        <v>6</v>
      </c>
      <c r="I92" s="220">
        <f>G92/E92</f>
        <v>1</v>
      </c>
      <c r="J92" s="220">
        <f>H92/F92</f>
        <v>0.8571428571428571</v>
      </c>
      <c r="K92" s="52"/>
      <c r="L92" s="52"/>
      <c r="M92" s="52"/>
      <c r="N92" s="53"/>
    </row>
    <row r="93" spans="1:14" ht="39.6" x14ac:dyDescent="0.3">
      <c r="A93" s="719"/>
      <c r="B93" s="60" t="s">
        <v>97</v>
      </c>
      <c r="C93" s="82" t="s">
        <v>30</v>
      </c>
      <c r="D93" s="219"/>
      <c r="E93" s="82">
        <v>1700</v>
      </c>
      <c r="F93" s="82">
        <v>1700</v>
      </c>
      <c r="G93" s="82">
        <v>1473</v>
      </c>
      <c r="H93" s="82">
        <v>6515</v>
      </c>
      <c r="I93" s="220">
        <f t="shared" si="34"/>
        <v>0.8664705882352941</v>
      </c>
      <c r="J93" s="220">
        <f t="shared" si="35"/>
        <v>3.8323529411764707</v>
      </c>
      <c r="K93" s="52"/>
      <c r="L93" s="52"/>
      <c r="M93" s="52"/>
      <c r="N93" s="53"/>
    </row>
    <row r="94" spans="1:14" ht="39.6" x14ac:dyDescent="0.3">
      <c r="A94" s="719"/>
      <c r="B94" s="60" t="s">
        <v>98</v>
      </c>
      <c r="C94" s="82" t="s">
        <v>30</v>
      </c>
      <c r="D94" s="219"/>
      <c r="E94" s="82">
        <v>100</v>
      </c>
      <c r="F94" s="82">
        <v>100</v>
      </c>
      <c r="G94" s="82">
        <v>120</v>
      </c>
      <c r="H94" s="82">
        <v>120</v>
      </c>
      <c r="I94" s="220">
        <f t="shared" ref="I94:I102" si="36">G94/E94</f>
        <v>1.2</v>
      </c>
      <c r="J94" s="220">
        <f t="shared" si="35"/>
        <v>1.2</v>
      </c>
      <c r="K94" s="52"/>
      <c r="L94" s="52"/>
      <c r="M94" s="52"/>
      <c r="N94" s="53"/>
    </row>
    <row r="95" spans="1:14" ht="26.4" x14ac:dyDescent="0.3">
      <c r="A95" s="719"/>
      <c r="B95" s="60" t="s">
        <v>99</v>
      </c>
      <c r="C95" s="82" t="s">
        <v>30</v>
      </c>
      <c r="D95" s="219"/>
      <c r="E95" s="82">
        <v>19</v>
      </c>
      <c r="F95" s="82">
        <v>17</v>
      </c>
      <c r="G95" s="82">
        <v>0</v>
      </c>
      <c r="H95" s="82">
        <v>0</v>
      </c>
      <c r="I95" s="220">
        <f t="shared" si="36"/>
        <v>0</v>
      </c>
      <c r="J95" s="220">
        <f t="shared" si="35"/>
        <v>0</v>
      </c>
      <c r="K95" s="52"/>
      <c r="L95" s="52"/>
      <c r="M95" s="52"/>
      <c r="N95" s="53"/>
    </row>
    <row r="96" spans="1:14" ht="39.6" x14ac:dyDescent="0.3">
      <c r="A96" s="719"/>
      <c r="B96" s="60" t="s">
        <v>100</v>
      </c>
      <c r="C96" s="82" t="s">
        <v>32</v>
      </c>
      <c r="D96" s="219"/>
      <c r="E96" s="82">
        <v>12</v>
      </c>
      <c r="F96" s="82">
        <v>10</v>
      </c>
      <c r="G96" s="82">
        <v>9</v>
      </c>
      <c r="H96" s="82">
        <v>9</v>
      </c>
      <c r="I96" s="220">
        <f t="shared" si="36"/>
        <v>0.75</v>
      </c>
      <c r="J96" s="220">
        <f>H96/F96</f>
        <v>0.9</v>
      </c>
      <c r="K96" s="52"/>
      <c r="L96" s="52"/>
      <c r="M96" s="52"/>
      <c r="N96" s="53"/>
    </row>
    <row r="97" spans="1:14" ht="52.8" x14ac:dyDescent="0.3">
      <c r="A97" s="719"/>
      <c r="B97" s="60" t="s">
        <v>101</v>
      </c>
      <c r="C97" s="82" t="s">
        <v>30</v>
      </c>
      <c r="D97" s="219"/>
      <c r="E97" s="82">
        <v>600</v>
      </c>
      <c r="F97" s="82">
        <v>550</v>
      </c>
      <c r="G97" s="82">
        <v>565</v>
      </c>
      <c r="H97" s="82">
        <v>561</v>
      </c>
      <c r="I97" s="220">
        <f t="shared" si="36"/>
        <v>0.94166666666666665</v>
      </c>
      <c r="J97" s="220">
        <f>H97/F97</f>
        <v>1.02</v>
      </c>
      <c r="K97" s="52"/>
      <c r="L97" s="52"/>
      <c r="M97" s="52"/>
      <c r="N97" s="53"/>
    </row>
    <row r="98" spans="1:14" ht="26.4" x14ac:dyDescent="0.3">
      <c r="A98" s="719"/>
      <c r="B98" s="670" t="s">
        <v>313</v>
      </c>
      <c r="C98" s="679"/>
      <c r="D98" s="680"/>
      <c r="E98" s="679">
        <v>4</v>
      </c>
      <c r="F98" s="671">
        <v>4</v>
      </c>
      <c r="G98" s="679">
        <v>4</v>
      </c>
      <c r="H98" s="671">
        <v>3</v>
      </c>
      <c r="I98" s="681">
        <f t="shared" si="36"/>
        <v>1</v>
      </c>
      <c r="J98" s="220">
        <f t="shared" ref="J98:J102" si="37">H98/F98</f>
        <v>0.75</v>
      </c>
      <c r="K98" s="72"/>
      <c r="L98" s="72"/>
      <c r="M98" s="72"/>
      <c r="N98" s="449"/>
    </row>
    <row r="99" spans="1:14" ht="39.6" x14ac:dyDescent="0.3">
      <c r="A99" s="719"/>
      <c r="B99" s="670" t="s">
        <v>314</v>
      </c>
      <c r="C99" s="679"/>
      <c r="D99" s="680"/>
      <c r="E99" s="679">
        <v>3</v>
      </c>
      <c r="F99" s="671">
        <v>3</v>
      </c>
      <c r="G99" s="679">
        <v>5</v>
      </c>
      <c r="H99" s="671">
        <v>5</v>
      </c>
      <c r="I99" s="681">
        <f t="shared" si="36"/>
        <v>1.6666666666666667</v>
      </c>
      <c r="J99" s="220">
        <f t="shared" si="37"/>
        <v>1.6666666666666667</v>
      </c>
      <c r="K99" s="72"/>
      <c r="L99" s="72"/>
      <c r="M99" s="72"/>
      <c r="N99" s="449"/>
    </row>
    <row r="100" spans="1:14" x14ac:dyDescent="0.3">
      <c r="A100" s="719"/>
      <c r="B100" s="670" t="s">
        <v>315</v>
      </c>
      <c r="C100" s="679"/>
      <c r="D100" s="680"/>
      <c r="E100" s="679">
        <v>27</v>
      </c>
      <c r="F100" s="671">
        <v>27</v>
      </c>
      <c r="G100" s="679">
        <v>31</v>
      </c>
      <c r="H100" s="671">
        <v>31</v>
      </c>
      <c r="I100" s="681">
        <f t="shared" si="36"/>
        <v>1.1481481481481481</v>
      </c>
      <c r="J100" s="220">
        <f t="shared" si="37"/>
        <v>1.1481481481481481</v>
      </c>
      <c r="K100" s="72"/>
      <c r="L100" s="72"/>
      <c r="M100" s="72"/>
      <c r="N100" s="449"/>
    </row>
    <row r="101" spans="1:14" ht="26.4" x14ac:dyDescent="0.3">
      <c r="A101" s="719"/>
      <c r="B101" s="670" t="s">
        <v>316</v>
      </c>
      <c r="C101" s="679"/>
      <c r="D101" s="680"/>
      <c r="E101" s="679">
        <v>34</v>
      </c>
      <c r="F101" s="671">
        <v>34</v>
      </c>
      <c r="G101" s="679">
        <v>40</v>
      </c>
      <c r="H101" s="671">
        <v>40</v>
      </c>
      <c r="I101" s="681">
        <f t="shared" si="36"/>
        <v>1.1764705882352942</v>
      </c>
      <c r="J101" s="220">
        <f>H101/F101</f>
        <v>1.1764705882352942</v>
      </c>
      <c r="K101" s="72"/>
      <c r="L101" s="72"/>
      <c r="M101" s="72"/>
      <c r="N101" s="449"/>
    </row>
    <row r="102" spans="1:14" ht="40.200000000000003" thickBot="1" x14ac:dyDescent="0.35">
      <c r="A102" s="720"/>
      <c r="B102" s="670" t="s">
        <v>317</v>
      </c>
      <c r="C102" s="679"/>
      <c r="D102" s="680"/>
      <c r="E102" s="679">
        <v>45</v>
      </c>
      <c r="F102" s="671">
        <v>45</v>
      </c>
      <c r="G102" s="679">
        <v>47</v>
      </c>
      <c r="H102" s="671">
        <v>47</v>
      </c>
      <c r="I102" s="681">
        <f t="shared" si="36"/>
        <v>1.0444444444444445</v>
      </c>
      <c r="J102" s="220">
        <f t="shared" si="37"/>
        <v>1.0444444444444445</v>
      </c>
      <c r="K102" s="72"/>
      <c r="L102" s="72"/>
      <c r="M102" s="72"/>
      <c r="N102" s="449"/>
    </row>
    <row r="103" spans="1:14" ht="26.4" customHeight="1" collapsed="1" x14ac:dyDescent="0.3">
      <c r="A103" s="718" t="s">
        <v>56</v>
      </c>
      <c r="B103" s="56" t="s">
        <v>102</v>
      </c>
      <c r="C103" s="186"/>
      <c r="D103" s="2"/>
      <c r="E103" s="2"/>
      <c r="F103" s="2"/>
      <c r="G103" s="2"/>
      <c r="H103" s="2"/>
      <c r="I103" s="77"/>
      <c r="J103" s="77"/>
      <c r="K103" s="178"/>
      <c r="L103" s="178"/>
      <c r="M103" s="178"/>
      <c r="N103" s="180"/>
    </row>
    <row r="104" spans="1:14" x14ac:dyDescent="0.3">
      <c r="A104" s="719"/>
      <c r="B104" s="191" t="s">
        <v>19</v>
      </c>
      <c r="C104" s="192" t="s">
        <v>20</v>
      </c>
      <c r="D104" s="194"/>
      <c r="E104" s="194">
        <f>SUM(E105:E106)</f>
        <v>6173.8</v>
      </c>
      <c r="F104" s="194">
        <f t="shared" ref="F104:H104" si="38">SUM(F105:F106)</f>
        <v>2348</v>
      </c>
      <c r="G104" s="194">
        <f t="shared" si="38"/>
        <v>6021.5</v>
      </c>
      <c r="H104" s="194">
        <f t="shared" si="38"/>
        <v>2227.9</v>
      </c>
      <c r="I104" s="201">
        <f>G104/E104</f>
        <v>0.9753312384592957</v>
      </c>
      <c r="J104" s="201">
        <f>H104/F104</f>
        <v>0.9488500851788757</v>
      </c>
      <c r="K104" s="139"/>
      <c r="L104" s="139"/>
      <c r="M104" s="139"/>
      <c r="N104" s="111"/>
    </row>
    <row r="105" spans="1:14" x14ac:dyDescent="0.3">
      <c r="A105" s="719"/>
      <c r="B105" s="10" t="s">
        <v>74</v>
      </c>
      <c r="C105" s="181" t="s">
        <v>20</v>
      </c>
      <c r="D105" s="185"/>
      <c r="E105" s="185">
        <v>450</v>
      </c>
      <c r="F105" s="185">
        <v>450</v>
      </c>
      <c r="G105" s="185">
        <v>450</v>
      </c>
      <c r="H105" s="185">
        <v>450</v>
      </c>
      <c r="I105" s="202">
        <f t="shared" ref="I105:I106" si="39">G105/E105</f>
        <v>1</v>
      </c>
      <c r="J105" s="202">
        <f>H105/F105</f>
        <v>1</v>
      </c>
      <c r="K105" s="139"/>
      <c r="L105" s="139"/>
      <c r="M105" s="139"/>
      <c r="N105" s="111"/>
    </row>
    <row r="106" spans="1:14" x14ac:dyDescent="0.3">
      <c r="A106" s="719"/>
      <c r="B106" s="10" t="s">
        <v>35</v>
      </c>
      <c r="C106" s="181" t="s">
        <v>20</v>
      </c>
      <c r="D106" s="185"/>
      <c r="E106" s="185">
        <v>5723.8</v>
      </c>
      <c r="F106" s="185">
        <v>1898</v>
      </c>
      <c r="G106" s="185">
        <f>3793.6+H106</f>
        <v>5571.5</v>
      </c>
      <c r="H106" s="185">
        <v>1777.9</v>
      </c>
      <c r="I106" s="202">
        <f t="shared" si="39"/>
        <v>0.97339180264859004</v>
      </c>
      <c r="J106" s="202">
        <f>H106/F106</f>
        <v>0.93672286617492106</v>
      </c>
      <c r="K106" s="139"/>
      <c r="L106" s="139"/>
      <c r="M106" s="139"/>
      <c r="N106" s="111"/>
    </row>
    <row r="107" spans="1:14" x14ac:dyDescent="0.3">
      <c r="A107" s="719"/>
      <c r="B107" s="265" t="s">
        <v>75</v>
      </c>
      <c r="C107" s="26"/>
      <c r="D107" s="48"/>
      <c r="E107" s="26"/>
      <c r="F107" s="26"/>
      <c r="G107" s="26"/>
      <c r="H107" s="26"/>
      <c r="I107" s="23"/>
      <c r="J107" s="23"/>
      <c r="K107" s="460">
        <v>7</v>
      </c>
      <c r="L107" s="460">
        <v>6</v>
      </c>
      <c r="M107" s="460">
        <v>1</v>
      </c>
      <c r="N107" s="461"/>
    </row>
    <row r="108" spans="1:14" ht="45" customHeight="1" x14ac:dyDescent="0.3">
      <c r="A108" s="719"/>
      <c r="B108" s="402" t="s">
        <v>248</v>
      </c>
      <c r="C108" s="13" t="s">
        <v>103</v>
      </c>
      <c r="D108" s="185"/>
      <c r="E108" s="219">
        <v>10590</v>
      </c>
      <c r="F108" s="219">
        <v>3530</v>
      </c>
      <c r="G108" s="219">
        <v>11320</v>
      </c>
      <c r="H108" s="219">
        <v>3900</v>
      </c>
      <c r="I108" s="220">
        <f t="shared" ref="I108:J111" si="40">G108/E108</f>
        <v>1.0689329556185081</v>
      </c>
      <c r="J108" s="220">
        <f t="shared" si="40"/>
        <v>1.1048158640226629</v>
      </c>
      <c r="K108" s="139"/>
      <c r="L108" s="139"/>
      <c r="M108" s="139"/>
      <c r="N108" s="111"/>
    </row>
    <row r="109" spans="1:14" ht="39.6" x14ac:dyDescent="0.3">
      <c r="A109" s="719"/>
      <c r="B109" s="311" t="s">
        <v>249</v>
      </c>
      <c r="C109" s="45" t="s">
        <v>30</v>
      </c>
      <c r="D109" s="62"/>
      <c r="E109" s="235">
        <v>9600</v>
      </c>
      <c r="F109" s="235">
        <v>3200</v>
      </c>
      <c r="G109" s="219">
        <v>10478</v>
      </c>
      <c r="H109" s="219">
        <v>3520</v>
      </c>
      <c r="I109" s="220">
        <f t="shared" si="40"/>
        <v>1.0914583333333334</v>
      </c>
      <c r="J109" s="220">
        <f t="shared" si="40"/>
        <v>1.1000000000000001</v>
      </c>
      <c r="K109" s="139"/>
      <c r="L109" s="139"/>
      <c r="M109" s="139"/>
      <c r="N109" s="111"/>
    </row>
    <row r="110" spans="1:14" ht="26.4" x14ac:dyDescent="0.3">
      <c r="A110" s="719"/>
      <c r="B110" s="311" t="s">
        <v>250</v>
      </c>
      <c r="C110" s="45" t="s">
        <v>30</v>
      </c>
      <c r="D110" s="62"/>
      <c r="E110" s="235">
        <v>2091</v>
      </c>
      <c r="F110" s="235">
        <v>697</v>
      </c>
      <c r="G110" s="219">
        <v>2191</v>
      </c>
      <c r="H110" s="219">
        <v>728</v>
      </c>
      <c r="I110" s="220">
        <f t="shared" si="40"/>
        <v>1.0478240076518412</v>
      </c>
      <c r="J110" s="220">
        <f t="shared" si="40"/>
        <v>1.0444763271162123</v>
      </c>
      <c r="K110" s="139"/>
      <c r="L110" s="139"/>
      <c r="M110" s="139"/>
      <c r="N110" s="111"/>
    </row>
    <row r="111" spans="1:14" ht="26.4" x14ac:dyDescent="0.3">
      <c r="A111" s="719"/>
      <c r="B111" s="311" t="s">
        <v>251</v>
      </c>
      <c r="C111" s="45"/>
      <c r="D111" s="62"/>
      <c r="E111" s="235">
        <v>0.7</v>
      </c>
      <c r="F111" s="235">
        <v>0.7</v>
      </c>
      <c r="G111" s="219">
        <v>0.77</v>
      </c>
      <c r="H111" s="219">
        <v>0.8</v>
      </c>
      <c r="I111" s="220">
        <f t="shared" si="40"/>
        <v>1.1000000000000001</v>
      </c>
      <c r="J111" s="220">
        <f t="shared" si="40"/>
        <v>1.142857142857143</v>
      </c>
      <c r="K111" s="139"/>
      <c r="L111" s="139"/>
      <c r="M111" s="139"/>
      <c r="N111" s="111"/>
    </row>
    <row r="112" spans="1:14" ht="26.4" x14ac:dyDescent="0.3">
      <c r="A112" s="719"/>
      <c r="B112" s="311" t="s">
        <v>209</v>
      </c>
      <c r="C112" s="45"/>
      <c r="D112" s="62"/>
      <c r="E112" s="236">
        <v>0.3</v>
      </c>
      <c r="F112" s="235">
        <v>0.3</v>
      </c>
      <c r="G112" s="219" t="s">
        <v>210</v>
      </c>
      <c r="H112" s="219" t="s">
        <v>210</v>
      </c>
      <c r="I112" s="219" t="s">
        <v>210</v>
      </c>
      <c r="J112" s="219" t="s">
        <v>210</v>
      </c>
      <c r="K112" s="139"/>
      <c r="L112" s="139"/>
      <c r="M112" s="139"/>
      <c r="N112" s="111"/>
    </row>
    <row r="113" spans="1:14" ht="39.6" x14ac:dyDescent="0.3">
      <c r="A113" s="719"/>
      <c r="B113" s="311" t="s">
        <v>104</v>
      </c>
      <c r="C113" s="45" t="s">
        <v>30</v>
      </c>
      <c r="D113" s="62"/>
      <c r="E113" s="235">
        <v>6600</v>
      </c>
      <c r="F113" s="235">
        <v>2200</v>
      </c>
      <c r="G113" s="219">
        <v>7486</v>
      </c>
      <c r="H113" s="219">
        <v>2530</v>
      </c>
      <c r="I113" s="220">
        <f>G113/E113</f>
        <v>1.1342424242424243</v>
      </c>
      <c r="J113" s="220">
        <f>H113/F113</f>
        <v>1.1499999999999999</v>
      </c>
      <c r="K113" s="139"/>
      <c r="L113" s="139"/>
      <c r="M113" s="139"/>
      <c r="N113" s="111"/>
    </row>
    <row r="114" spans="1:14" ht="66.599999999999994" thickBot="1" x14ac:dyDescent="0.35">
      <c r="A114" s="720"/>
      <c r="B114" s="437" t="s">
        <v>252</v>
      </c>
      <c r="C114" s="47" t="s">
        <v>26</v>
      </c>
      <c r="D114" s="438"/>
      <c r="E114" s="439">
        <v>70</v>
      </c>
      <c r="F114" s="439">
        <v>70</v>
      </c>
      <c r="G114" s="253">
        <v>75</v>
      </c>
      <c r="H114" s="253">
        <v>80</v>
      </c>
      <c r="I114" s="347">
        <f>G114/E114</f>
        <v>1.0714285714285714</v>
      </c>
      <c r="J114" s="347">
        <f>H114/F114</f>
        <v>1.1428571428571428</v>
      </c>
      <c r="K114" s="43"/>
      <c r="L114" s="43"/>
      <c r="M114" s="43"/>
      <c r="N114" s="436"/>
    </row>
    <row r="115" spans="1:14" collapsed="1" x14ac:dyDescent="0.3">
      <c r="A115" s="730" t="s">
        <v>105</v>
      </c>
      <c r="B115" s="28" t="s">
        <v>106</v>
      </c>
      <c r="C115" s="186"/>
      <c r="D115" s="2"/>
      <c r="E115" s="2"/>
      <c r="F115" s="2"/>
      <c r="G115" s="2"/>
      <c r="H115" s="2"/>
      <c r="I115" s="77"/>
      <c r="J115" s="77"/>
      <c r="K115" s="178"/>
      <c r="L115" s="178"/>
      <c r="M115" s="178"/>
      <c r="N115" s="188"/>
    </row>
    <row r="116" spans="1:14" x14ac:dyDescent="0.3">
      <c r="A116" s="731"/>
      <c r="B116" s="191" t="s">
        <v>19</v>
      </c>
      <c r="C116" s="192" t="s">
        <v>20</v>
      </c>
      <c r="D116" s="194"/>
      <c r="E116" s="194">
        <f>SUM(E117:E120)</f>
        <v>191873.78200000001</v>
      </c>
      <c r="F116" s="194">
        <f t="shared" ref="F116:H116" si="41">SUM(F117:F120)</f>
        <v>159189.69999999998</v>
      </c>
      <c r="G116" s="194">
        <f t="shared" si="41"/>
        <v>170075.03</v>
      </c>
      <c r="H116" s="194">
        <f t="shared" si="41"/>
        <v>155799.93</v>
      </c>
      <c r="I116" s="201">
        <f>G116/E116</f>
        <v>0.88639014787335557</v>
      </c>
      <c r="J116" s="201">
        <f>H116/F116</f>
        <v>0.97870609719096158</v>
      </c>
      <c r="K116" s="222"/>
      <c r="L116" s="222"/>
      <c r="M116" s="222"/>
      <c r="N116" s="431"/>
    </row>
    <row r="117" spans="1:14" x14ac:dyDescent="0.3">
      <c r="A117" s="731"/>
      <c r="B117" s="11" t="s">
        <v>21</v>
      </c>
      <c r="C117" s="181" t="s">
        <v>20</v>
      </c>
      <c r="D117" s="185"/>
      <c r="E117" s="185">
        <f>E160</f>
        <v>30958</v>
      </c>
      <c r="F117" s="185">
        <f t="shared" ref="F117:H117" si="42">F160</f>
        <v>24688.1</v>
      </c>
      <c r="G117" s="185">
        <f t="shared" si="42"/>
        <v>25074.799999999999</v>
      </c>
      <c r="H117" s="185">
        <f t="shared" si="42"/>
        <v>23028.799999999999</v>
      </c>
      <c r="I117" s="202">
        <f t="shared" ref="I117:I120" si="43">G117/E117</f>
        <v>0.80996188384262546</v>
      </c>
      <c r="J117" s="202">
        <f t="shared" ref="J117:J120" si="44">H117/F117</f>
        <v>0.93278948157209352</v>
      </c>
      <c r="K117" s="139"/>
      <c r="L117" s="139"/>
      <c r="M117" s="139"/>
      <c r="N117" s="111"/>
    </row>
    <row r="118" spans="1:14" x14ac:dyDescent="0.3">
      <c r="A118" s="731"/>
      <c r="B118" s="11" t="s">
        <v>107</v>
      </c>
      <c r="C118" s="181" t="s">
        <v>20</v>
      </c>
      <c r="D118" s="185"/>
      <c r="E118" s="185"/>
      <c r="F118" s="185"/>
      <c r="G118" s="185"/>
      <c r="H118" s="185"/>
      <c r="I118" s="202" t="e">
        <f t="shared" si="43"/>
        <v>#DIV/0!</v>
      </c>
      <c r="J118" s="202" t="e">
        <f t="shared" si="44"/>
        <v>#DIV/0!</v>
      </c>
      <c r="K118" s="139"/>
      <c r="L118" s="139"/>
      <c r="M118" s="139"/>
      <c r="N118" s="111"/>
    </row>
    <row r="119" spans="1:14" x14ac:dyDescent="0.3">
      <c r="A119" s="731"/>
      <c r="B119" s="11" t="s">
        <v>74</v>
      </c>
      <c r="C119" s="181" t="s">
        <v>20</v>
      </c>
      <c r="D119" s="185"/>
      <c r="E119" s="185">
        <f>E124+E142+E161</f>
        <v>150335.88200000001</v>
      </c>
      <c r="F119" s="185">
        <f>F124+F142+F161</f>
        <v>131002.09999999999</v>
      </c>
      <c r="G119" s="185">
        <f>G124+G142+G161</f>
        <v>137392.70000000001</v>
      </c>
      <c r="H119" s="185">
        <f>H124+H142+H161</f>
        <v>129324.3</v>
      </c>
      <c r="I119" s="202">
        <f t="shared" si="43"/>
        <v>0.91390490528402257</v>
      </c>
      <c r="J119" s="202">
        <f t="shared" si="44"/>
        <v>0.98719257172213282</v>
      </c>
      <c r="K119" s="139"/>
      <c r="L119" s="139"/>
      <c r="M119" s="139"/>
      <c r="N119" s="111"/>
    </row>
    <row r="120" spans="1:14" x14ac:dyDescent="0.3">
      <c r="A120" s="731"/>
      <c r="B120" s="11" t="s">
        <v>35</v>
      </c>
      <c r="C120" s="181" t="s">
        <v>20</v>
      </c>
      <c r="D120" s="185"/>
      <c r="E120" s="185">
        <f>E125+E143+E162+E169+E176</f>
        <v>10579.9</v>
      </c>
      <c r="F120" s="185">
        <f>F125+F143+F162+F169+F176</f>
        <v>3499.5</v>
      </c>
      <c r="G120" s="185">
        <f>G125+G143+G162+G169+G176</f>
        <v>7607.5300000000007</v>
      </c>
      <c r="H120" s="185">
        <f>H125+H143+H162+H169+H176</f>
        <v>3446.83</v>
      </c>
      <c r="I120" s="202">
        <f t="shared" si="43"/>
        <v>0.71905500051985383</v>
      </c>
      <c r="J120" s="202">
        <f t="shared" si="44"/>
        <v>0.98494927846835256</v>
      </c>
      <c r="K120" s="139"/>
      <c r="L120" s="139"/>
      <c r="M120" s="139"/>
      <c r="N120" s="111"/>
    </row>
    <row r="121" spans="1:14" ht="27" thickBot="1" x14ac:dyDescent="0.35">
      <c r="A121" s="732"/>
      <c r="B121" s="30" t="s">
        <v>36</v>
      </c>
      <c r="C121" s="161"/>
      <c r="D121" s="162"/>
      <c r="E121" s="161"/>
      <c r="F121" s="161"/>
      <c r="G121" s="161"/>
      <c r="H121" s="309"/>
      <c r="I121" s="86"/>
      <c r="J121" s="86"/>
      <c r="K121" s="42"/>
      <c r="L121" s="42"/>
      <c r="M121" s="42"/>
      <c r="N121" s="310"/>
    </row>
    <row r="122" spans="1:14" x14ac:dyDescent="0.3">
      <c r="A122" s="754">
        <v>8</v>
      </c>
      <c r="B122" s="428" t="s">
        <v>255</v>
      </c>
      <c r="C122" s="29"/>
      <c r="D122" s="57"/>
      <c r="E122" s="29"/>
      <c r="F122" s="29"/>
      <c r="G122" s="29"/>
      <c r="H122" s="167"/>
      <c r="I122" s="77"/>
      <c r="J122" s="77"/>
      <c r="K122" s="1"/>
      <c r="L122" s="1"/>
      <c r="M122" s="1"/>
      <c r="N122" s="308"/>
    </row>
    <row r="123" spans="1:14" x14ac:dyDescent="0.3">
      <c r="A123" s="755"/>
      <c r="B123" s="463" t="s">
        <v>258</v>
      </c>
      <c r="C123" s="70"/>
      <c r="D123" s="73"/>
      <c r="E123" s="464">
        <f>SUM(E124:E125)</f>
        <v>12326.34</v>
      </c>
      <c r="F123" s="549">
        <f t="shared" ref="F123:H123" si="45">SUM(F124:F125)</f>
        <v>75</v>
      </c>
      <c r="G123" s="549">
        <f t="shared" si="45"/>
        <v>41.4</v>
      </c>
      <c r="H123" s="549">
        <f t="shared" si="45"/>
        <v>41.4</v>
      </c>
      <c r="I123" s="71">
        <f>G123/E123</f>
        <v>3.3586612084365672E-3</v>
      </c>
      <c r="J123" s="71">
        <f>H123/F123</f>
        <v>0.55199999999999994</v>
      </c>
      <c r="K123" s="66"/>
      <c r="L123" s="66"/>
      <c r="M123" s="66"/>
      <c r="N123" s="69"/>
    </row>
    <row r="124" spans="1:14" x14ac:dyDescent="0.3">
      <c r="A124" s="755"/>
      <c r="B124" s="211" t="s">
        <v>74</v>
      </c>
      <c r="C124" s="214"/>
      <c r="D124" s="203"/>
      <c r="E124" s="391">
        <v>10553.49</v>
      </c>
      <c r="F124" s="550">
        <v>0</v>
      </c>
      <c r="G124" s="550">
        <v>0</v>
      </c>
      <c r="H124" s="550">
        <v>0</v>
      </c>
      <c r="I124" s="71">
        <f t="shared" ref="I124:I125" si="46">G124/E124</f>
        <v>0</v>
      </c>
      <c r="J124" s="71">
        <v>0</v>
      </c>
      <c r="K124" s="215"/>
      <c r="L124" s="215"/>
      <c r="M124" s="215"/>
      <c r="N124" s="430"/>
    </row>
    <row r="125" spans="1:14" x14ac:dyDescent="0.3">
      <c r="A125" s="755"/>
      <c r="B125" s="211" t="s">
        <v>35</v>
      </c>
      <c r="C125" s="214"/>
      <c r="D125" s="203"/>
      <c r="E125" s="391">
        <v>1772.85</v>
      </c>
      <c r="F125" s="550">
        <v>75</v>
      </c>
      <c r="G125" s="550">
        <f>H125</f>
        <v>41.4</v>
      </c>
      <c r="H125" s="550">
        <v>41.4</v>
      </c>
      <c r="I125" s="71">
        <f t="shared" si="46"/>
        <v>2.3352229461037315E-2</v>
      </c>
      <c r="J125" s="71">
        <f t="shared" ref="J125" si="47">H125/F125</f>
        <v>0.55199999999999994</v>
      </c>
      <c r="K125" s="215"/>
      <c r="L125" s="215"/>
      <c r="M125" s="215"/>
      <c r="N125" s="430"/>
    </row>
    <row r="126" spans="1:14" x14ac:dyDescent="0.3">
      <c r="A126" s="755"/>
      <c r="B126" s="233" t="s">
        <v>223</v>
      </c>
      <c r="C126" s="26"/>
      <c r="D126" s="560"/>
      <c r="E126" s="26"/>
      <c r="F126" s="561"/>
      <c r="G126" s="26"/>
      <c r="H126" s="429"/>
      <c r="I126" s="23"/>
      <c r="J126" s="23"/>
      <c r="K126" s="460">
        <v>8</v>
      </c>
      <c r="L126" s="460">
        <v>8</v>
      </c>
      <c r="M126" s="460">
        <v>0</v>
      </c>
      <c r="N126" s="50"/>
    </row>
    <row r="127" spans="1:14" ht="40.200000000000003" customHeight="1" x14ac:dyDescent="0.3">
      <c r="A127" s="755"/>
      <c r="B127" s="551" t="s">
        <v>282</v>
      </c>
      <c r="C127" s="558" t="s">
        <v>295</v>
      </c>
      <c r="D127" s="470">
        <v>5</v>
      </c>
      <c r="E127" s="562">
        <v>26</v>
      </c>
      <c r="F127" s="470">
        <v>5</v>
      </c>
      <c r="G127" s="683">
        <v>5</v>
      </c>
      <c r="H127" s="684">
        <v>5</v>
      </c>
      <c r="I127" s="134">
        <f>G127/E127</f>
        <v>0.19230769230769232</v>
      </c>
      <c r="J127" s="134">
        <f>H127/F127</f>
        <v>1</v>
      </c>
      <c r="K127" s="139"/>
      <c r="L127" s="139"/>
      <c r="M127" s="139"/>
      <c r="N127" s="111"/>
    </row>
    <row r="128" spans="1:14" ht="55.95" customHeight="1" x14ac:dyDescent="0.3">
      <c r="A128" s="755"/>
      <c r="B128" s="553" t="s">
        <v>283</v>
      </c>
      <c r="C128" s="469" t="s">
        <v>295</v>
      </c>
      <c r="D128" s="470">
        <v>5</v>
      </c>
      <c r="E128" s="562">
        <v>101</v>
      </c>
      <c r="F128" s="470">
        <v>8</v>
      </c>
      <c r="G128" s="683">
        <v>8</v>
      </c>
      <c r="H128" s="684">
        <v>8</v>
      </c>
      <c r="I128" s="134">
        <f t="shared" ref="I128:I139" si="48">G128/E128</f>
        <v>7.9207920792079209E-2</v>
      </c>
      <c r="J128" s="134">
        <f t="shared" ref="J128:J139" si="49">H128/F128</f>
        <v>1</v>
      </c>
      <c r="K128" s="139"/>
      <c r="L128" s="139"/>
      <c r="M128" s="139"/>
      <c r="N128" s="111"/>
    </row>
    <row r="129" spans="1:14" ht="26.4" x14ac:dyDescent="0.3">
      <c r="A129" s="755"/>
      <c r="B129" s="551" t="s">
        <v>284</v>
      </c>
      <c r="C129" s="469" t="s">
        <v>295</v>
      </c>
      <c r="D129" s="470">
        <v>2</v>
      </c>
      <c r="E129" s="562">
        <v>12</v>
      </c>
      <c r="F129" s="470">
        <v>3</v>
      </c>
      <c r="G129" s="683">
        <v>3</v>
      </c>
      <c r="H129" s="684">
        <v>3</v>
      </c>
      <c r="I129" s="134">
        <f t="shared" si="48"/>
        <v>0.25</v>
      </c>
      <c r="J129" s="134">
        <f t="shared" si="49"/>
        <v>1</v>
      </c>
      <c r="K129" s="139"/>
      <c r="L129" s="139"/>
      <c r="M129" s="139"/>
      <c r="N129" s="111"/>
    </row>
    <row r="130" spans="1:14" ht="26.4" x14ac:dyDescent="0.3">
      <c r="A130" s="756"/>
      <c r="B130" s="554" t="s">
        <v>285</v>
      </c>
      <c r="C130" s="469" t="s">
        <v>295</v>
      </c>
      <c r="D130" s="470">
        <v>0</v>
      </c>
      <c r="E130" s="563">
        <v>2</v>
      </c>
      <c r="F130" s="470">
        <v>0</v>
      </c>
      <c r="G130" s="685">
        <v>0</v>
      </c>
      <c r="H130" s="686">
        <v>0</v>
      </c>
      <c r="I130" s="134">
        <f t="shared" si="48"/>
        <v>0</v>
      </c>
      <c r="J130" s="134">
        <v>1</v>
      </c>
      <c r="K130" s="313"/>
      <c r="L130" s="313"/>
      <c r="M130" s="313"/>
      <c r="N130" s="314"/>
    </row>
    <row r="131" spans="1:14" ht="26.4" x14ac:dyDescent="0.3">
      <c r="A131" s="756"/>
      <c r="B131" s="554" t="s">
        <v>286</v>
      </c>
      <c r="C131" s="469" t="s">
        <v>295</v>
      </c>
      <c r="D131" s="470">
        <v>0</v>
      </c>
      <c r="E131" s="563">
        <v>3</v>
      </c>
      <c r="F131" s="470">
        <v>0</v>
      </c>
      <c r="G131" s="685">
        <v>0</v>
      </c>
      <c r="H131" s="686">
        <v>0</v>
      </c>
      <c r="I131" s="134">
        <f t="shared" si="48"/>
        <v>0</v>
      </c>
      <c r="J131" s="134">
        <v>1</v>
      </c>
      <c r="K131" s="313"/>
      <c r="L131" s="313"/>
      <c r="M131" s="313"/>
      <c r="N131" s="314"/>
    </row>
    <row r="132" spans="1:14" ht="26.4" x14ac:dyDescent="0.3">
      <c r="A132" s="756"/>
      <c r="B132" s="554" t="s">
        <v>287</v>
      </c>
      <c r="C132" s="469" t="s">
        <v>295</v>
      </c>
      <c r="D132" s="470">
        <v>0</v>
      </c>
      <c r="E132" s="563">
        <v>4</v>
      </c>
      <c r="F132" s="470">
        <v>0</v>
      </c>
      <c r="G132" s="685">
        <v>0</v>
      </c>
      <c r="H132" s="686">
        <v>0</v>
      </c>
      <c r="I132" s="134">
        <f t="shared" si="48"/>
        <v>0</v>
      </c>
      <c r="J132" s="134">
        <v>1</v>
      </c>
      <c r="K132" s="313"/>
      <c r="L132" s="313"/>
      <c r="M132" s="313"/>
      <c r="N132" s="314"/>
    </row>
    <row r="133" spans="1:14" ht="26.4" x14ac:dyDescent="0.3">
      <c r="A133" s="756"/>
      <c r="B133" s="554" t="s">
        <v>288</v>
      </c>
      <c r="C133" s="469" t="s">
        <v>295</v>
      </c>
      <c r="D133" s="470">
        <v>3</v>
      </c>
      <c r="E133" s="563">
        <v>80</v>
      </c>
      <c r="F133" s="470">
        <v>5</v>
      </c>
      <c r="G133" s="685">
        <v>5</v>
      </c>
      <c r="H133" s="686">
        <v>5</v>
      </c>
      <c r="I133" s="134">
        <f t="shared" si="48"/>
        <v>6.25E-2</v>
      </c>
      <c r="J133" s="134">
        <f t="shared" si="49"/>
        <v>1</v>
      </c>
      <c r="K133" s="313"/>
      <c r="L133" s="313"/>
      <c r="M133" s="313"/>
      <c r="N133" s="314"/>
    </row>
    <row r="134" spans="1:14" ht="39.6" x14ac:dyDescent="0.3">
      <c r="A134" s="755"/>
      <c r="B134" s="483" t="s">
        <v>289</v>
      </c>
      <c r="C134" s="558" t="s">
        <v>296</v>
      </c>
      <c r="D134" s="470">
        <v>0</v>
      </c>
      <c r="E134" s="563">
        <v>1</v>
      </c>
      <c r="F134" s="470">
        <v>0</v>
      </c>
      <c r="G134" s="685">
        <v>0</v>
      </c>
      <c r="H134" s="686">
        <v>0</v>
      </c>
      <c r="I134" s="134">
        <f t="shared" si="48"/>
        <v>0</v>
      </c>
      <c r="J134" s="134">
        <v>1</v>
      </c>
      <c r="K134" s="313"/>
      <c r="L134" s="313"/>
      <c r="M134" s="313"/>
      <c r="N134" s="314"/>
    </row>
    <row r="135" spans="1:14" ht="54.6" customHeight="1" x14ac:dyDescent="0.3">
      <c r="A135" s="755"/>
      <c r="B135" s="555" t="s">
        <v>290</v>
      </c>
      <c r="C135" s="558" t="s">
        <v>296</v>
      </c>
      <c r="D135" s="470">
        <v>0</v>
      </c>
      <c r="E135" s="563">
        <v>1</v>
      </c>
      <c r="F135" s="470">
        <v>0</v>
      </c>
      <c r="G135" s="685">
        <v>0</v>
      </c>
      <c r="H135" s="686">
        <v>0</v>
      </c>
      <c r="I135" s="134">
        <f t="shared" si="48"/>
        <v>0</v>
      </c>
      <c r="J135" s="134">
        <v>1</v>
      </c>
      <c r="K135" s="313"/>
      <c r="L135" s="313"/>
      <c r="M135" s="313"/>
      <c r="N135" s="314"/>
    </row>
    <row r="136" spans="1:14" ht="39.6" x14ac:dyDescent="0.3">
      <c r="A136" s="755"/>
      <c r="B136" s="551" t="s">
        <v>291</v>
      </c>
      <c r="C136" s="558" t="s">
        <v>297</v>
      </c>
      <c r="D136" s="470">
        <v>40</v>
      </c>
      <c r="E136" s="563">
        <v>80</v>
      </c>
      <c r="F136" s="470">
        <v>50</v>
      </c>
      <c r="G136" s="685">
        <v>50</v>
      </c>
      <c r="H136" s="686">
        <v>50</v>
      </c>
      <c r="I136" s="134">
        <f t="shared" si="48"/>
        <v>0.625</v>
      </c>
      <c r="J136" s="134">
        <f t="shared" si="49"/>
        <v>1</v>
      </c>
      <c r="K136" s="313"/>
      <c r="L136" s="313"/>
      <c r="M136" s="313"/>
      <c r="N136" s="314"/>
    </row>
    <row r="137" spans="1:14" ht="79.2" x14ac:dyDescent="0.3">
      <c r="A137" s="755"/>
      <c r="B137" s="556" t="s">
        <v>292</v>
      </c>
      <c r="C137" s="558" t="s">
        <v>297</v>
      </c>
      <c r="D137" s="470">
        <v>10</v>
      </c>
      <c r="E137" s="563">
        <v>75</v>
      </c>
      <c r="F137" s="470">
        <v>10</v>
      </c>
      <c r="G137" s="685">
        <v>10</v>
      </c>
      <c r="H137" s="686">
        <v>10</v>
      </c>
      <c r="I137" s="134">
        <f t="shared" si="48"/>
        <v>0.13333333333333333</v>
      </c>
      <c r="J137" s="134">
        <f t="shared" si="49"/>
        <v>1</v>
      </c>
      <c r="K137" s="313"/>
      <c r="L137" s="313"/>
      <c r="M137" s="313"/>
      <c r="N137" s="314"/>
    </row>
    <row r="138" spans="1:14" x14ac:dyDescent="0.3">
      <c r="A138" s="755"/>
      <c r="B138" s="556" t="s">
        <v>293</v>
      </c>
      <c r="C138" s="558" t="s">
        <v>298</v>
      </c>
      <c r="D138" s="470">
        <v>28</v>
      </c>
      <c r="E138" s="563">
        <v>140</v>
      </c>
      <c r="F138" s="470">
        <v>30</v>
      </c>
      <c r="G138" s="685">
        <v>30</v>
      </c>
      <c r="H138" s="686">
        <v>30</v>
      </c>
      <c r="I138" s="134">
        <f t="shared" si="48"/>
        <v>0.21428571428571427</v>
      </c>
      <c r="J138" s="134">
        <f t="shared" si="49"/>
        <v>1</v>
      </c>
      <c r="K138" s="313"/>
      <c r="L138" s="313"/>
      <c r="M138" s="313"/>
      <c r="N138" s="314"/>
    </row>
    <row r="139" spans="1:14" ht="40.200000000000003" thickBot="1" x14ac:dyDescent="0.35">
      <c r="A139" s="755"/>
      <c r="B139" s="557" t="s">
        <v>294</v>
      </c>
      <c r="C139" s="559" t="s">
        <v>299</v>
      </c>
      <c r="D139" s="471">
        <v>4</v>
      </c>
      <c r="E139" s="563">
        <v>95</v>
      </c>
      <c r="F139" s="471">
        <v>10</v>
      </c>
      <c r="G139" s="685">
        <v>10</v>
      </c>
      <c r="H139" s="686">
        <v>10</v>
      </c>
      <c r="I139" s="134">
        <f t="shared" si="48"/>
        <v>0.10526315789473684</v>
      </c>
      <c r="J139" s="134">
        <f t="shared" si="49"/>
        <v>1</v>
      </c>
      <c r="K139" s="313"/>
      <c r="L139" s="313"/>
      <c r="M139" s="313"/>
      <c r="N139" s="314"/>
    </row>
    <row r="140" spans="1:14" ht="26.4" x14ac:dyDescent="0.3">
      <c r="A140" s="754">
        <v>9</v>
      </c>
      <c r="B140" s="307" t="s">
        <v>222</v>
      </c>
      <c r="C140" s="29"/>
      <c r="D140" s="57"/>
      <c r="E140" s="29"/>
      <c r="F140" s="29"/>
      <c r="G140" s="29"/>
      <c r="H140" s="167"/>
      <c r="I140" s="77"/>
      <c r="J140" s="77"/>
      <c r="K140" s="1"/>
      <c r="L140" s="1"/>
      <c r="M140" s="1"/>
      <c r="N140" s="308"/>
    </row>
    <row r="141" spans="1:14" x14ac:dyDescent="0.3">
      <c r="A141" s="755"/>
      <c r="B141" s="191" t="s">
        <v>19</v>
      </c>
      <c r="C141" s="70"/>
      <c r="D141" s="73"/>
      <c r="E141" s="393">
        <f>SUM(E142:E143)</f>
        <v>2918.1419999999998</v>
      </c>
      <c r="F141" s="393">
        <f>SUM(F142:F143)</f>
        <v>1211.9000000000001</v>
      </c>
      <c r="G141" s="393">
        <f>SUM(G142:G143)</f>
        <v>1211.9000000000001</v>
      </c>
      <c r="H141" s="393">
        <f>SUM(H142:H143)</f>
        <v>1211.9000000000001</v>
      </c>
      <c r="I141" s="258">
        <f>G141/E141</f>
        <v>0.41529850158080045</v>
      </c>
      <c r="J141" s="258">
        <f>H141/F141</f>
        <v>1</v>
      </c>
      <c r="K141" s="66"/>
      <c r="L141" s="66"/>
      <c r="M141" s="66"/>
      <c r="N141" s="69"/>
    </row>
    <row r="142" spans="1:14" x14ac:dyDescent="0.3">
      <c r="A142" s="755"/>
      <c r="B142" s="11" t="s">
        <v>74</v>
      </c>
      <c r="C142" s="181"/>
      <c r="D142" s="185"/>
      <c r="E142" s="394">
        <v>2490.692</v>
      </c>
      <c r="F142" s="394">
        <v>1090.7</v>
      </c>
      <c r="G142" s="394">
        <f>H142</f>
        <v>1090.7</v>
      </c>
      <c r="H142" s="489">
        <v>1090.7</v>
      </c>
      <c r="I142" s="258">
        <f t="shared" ref="I142:I143" si="50">G142/E142</f>
        <v>0.43791042810592401</v>
      </c>
      <c r="J142" s="258">
        <f t="shared" ref="J142:J143" si="51">H142/F142</f>
        <v>1</v>
      </c>
      <c r="K142" s="139"/>
      <c r="L142" s="139"/>
      <c r="M142" s="139"/>
      <c r="N142" s="111"/>
    </row>
    <row r="143" spans="1:14" x14ac:dyDescent="0.3">
      <c r="A143" s="755"/>
      <c r="B143" s="11" t="s">
        <v>35</v>
      </c>
      <c r="C143" s="312"/>
      <c r="D143" s="283"/>
      <c r="E143" s="395">
        <v>427.45</v>
      </c>
      <c r="F143" s="395">
        <v>121.2</v>
      </c>
      <c r="G143" s="395">
        <f>H143</f>
        <v>121.2</v>
      </c>
      <c r="H143" s="490">
        <v>121.2</v>
      </c>
      <c r="I143" s="258">
        <f t="shared" si="50"/>
        <v>0.28354193472920813</v>
      </c>
      <c r="J143" s="258">
        <f t="shared" si="51"/>
        <v>1</v>
      </c>
      <c r="K143" s="313"/>
      <c r="L143" s="313"/>
      <c r="M143" s="313"/>
      <c r="N143" s="314"/>
    </row>
    <row r="144" spans="1:14" x14ac:dyDescent="0.3">
      <c r="A144" s="755"/>
      <c r="B144" s="265" t="s">
        <v>223</v>
      </c>
      <c r="C144" s="532"/>
      <c r="D144" s="533"/>
      <c r="E144" s="532"/>
      <c r="F144" s="532"/>
      <c r="G144" s="532"/>
      <c r="H144" s="534"/>
      <c r="I144" s="199"/>
      <c r="J144" s="199"/>
      <c r="K144" s="703">
        <v>12</v>
      </c>
      <c r="L144" s="703">
        <v>12</v>
      </c>
      <c r="M144" s="703">
        <v>0</v>
      </c>
      <c r="N144" s="315"/>
    </row>
    <row r="145" spans="1:14" ht="40.200000000000003" customHeight="1" x14ac:dyDescent="0.3">
      <c r="A145" s="755"/>
      <c r="B145" s="537" t="s">
        <v>269</v>
      </c>
      <c r="C145" s="543" t="s">
        <v>30</v>
      </c>
      <c r="D145" s="543">
        <v>44</v>
      </c>
      <c r="E145" s="543">
        <v>40</v>
      </c>
      <c r="F145" s="543">
        <v>20</v>
      </c>
      <c r="G145" s="542">
        <v>41</v>
      </c>
      <c r="H145" s="542">
        <v>41</v>
      </c>
      <c r="I145" s="547">
        <f>G145/E145</f>
        <v>1.0249999999999999</v>
      </c>
      <c r="J145" s="548">
        <f>H145/F145</f>
        <v>2.0499999999999998</v>
      </c>
      <c r="K145" s="535"/>
      <c r="L145" s="535"/>
      <c r="M145" s="535"/>
      <c r="N145" s="536"/>
    </row>
    <row r="146" spans="1:14" ht="26.4" x14ac:dyDescent="0.3">
      <c r="A146" s="755"/>
      <c r="B146" s="537" t="s">
        <v>270</v>
      </c>
      <c r="C146" s="543" t="s">
        <v>30</v>
      </c>
      <c r="D146" s="543">
        <v>6337</v>
      </c>
      <c r="E146" s="543">
        <v>10600</v>
      </c>
      <c r="F146" s="543">
        <v>5300</v>
      </c>
      <c r="G146" s="542">
        <v>5314</v>
      </c>
      <c r="H146" s="542">
        <v>5314</v>
      </c>
      <c r="I146" s="547">
        <f t="shared" ref="I146:I156" si="52">G146/E146</f>
        <v>0.50132075471698112</v>
      </c>
      <c r="J146" s="548">
        <f t="shared" ref="J146:J156" si="53">H146/F146</f>
        <v>1.0026415094339622</v>
      </c>
      <c r="K146" s="535"/>
      <c r="L146" s="535"/>
      <c r="M146" s="535"/>
      <c r="N146" s="536"/>
    </row>
    <row r="147" spans="1:14" ht="26.4" x14ac:dyDescent="0.3">
      <c r="A147" s="755"/>
      <c r="B147" s="538" t="s">
        <v>271</v>
      </c>
      <c r="C147" s="543" t="s">
        <v>281</v>
      </c>
      <c r="D147" s="543">
        <v>289.17</v>
      </c>
      <c r="E147" s="543">
        <v>518.44000000000005</v>
      </c>
      <c r="F147" s="543">
        <v>259.22000000000003</v>
      </c>
      <c r="G147" s="542">
        <v>263.17</v>
      </c>
      <c r="H147" s="542">
        <v>263.17</v>
      </c>
      <c r="I147" s="547">
        <f t="shared" si="52"/>
        <v>0.50761901087879024</v>
      </c>
      <c r="J147" s="548">
        <f t="shared" si="53"/>
        <v>1.0152380217575805</v>
      </c>
      <c r="K147" s="535"/>
      <c r="L147" s="535"/>
      <c r="M147" s="535"/>
      <c r="N147" s="536"/>
    </row>
    <row r="148" spans="1:14" x14ac:dyDescent="0.3">
      <c r="A148" s="755"/>
      <c r="B148" s="538" t="s">
        <v>272</v>
      </c>
      <c r="C148" s="543" t="s">
        <v>26</v>
      </c>
      <c r="D148" s="543">
        <v>0.63</v>
      </c>
      <c r="E148" s="543">
        <v>1.06</v>
      </c>
      <c r="F148" s="543">
        <v>0.53</v>
      </c>
      <c r="G148" s="542">
        <v>0.53</v>
      </c>
      <c r="H148" s="542">
        <v>0.53</v>
      </c>
      <c r="I148" s="547">
        <f t="shared" si="52"/>
        <v>0.5</v>
      </c>
      <c r="J148" s="548">
        <f t="shared" si="53"/>
        <v>1</v>
      </c>
      <c r="K148" s="535"/>
      <c r="L148" s="535"/>
      <c r="M148" s="535"/>
      <c r="N148" s="536"/>
    </row>
    <row r="149" spans="1:14" ht="26.4" x14ac:dyDescent="0.3">
      <c r="A149" s="755"/>
      <c r="B149" s="538" t="s">
        <v>279</v>
      </c>
      <c r="C149" s="543" t="s">
        <v>262</v>
      </c>
      <c r="D149" s="543">
        <v>100</v>
      </c>
      <c r="E149" s="543">
        <v>400</v>
      </c>
      <c r="F149" s="543">
        <v>200</v>
      </c>
      <c r="G149" s="542">
        <v>200</v>
      </c>
      <c r="H149" s="542">
        <v>200</v>
      </c>
      <c r="I149" s="547">
        <f t="shared" si="52"/>
        <v>0.5</v>
      </c>
      <c r="J149" s="548">
        <f t="shared" si="53"/>
        <v>1</v>
      </c>
      <c r="K149" s="535"/>
      <c r="L149" s="535"/>
      <c r="M149" s="535"/>
      <c r="N149" s="536"/>
    </row>
    <row r="150" spans="1:14" ht="26.4" x14ac:dyDescent="0.3">
      <c r="A150" s="755"/>
      <c r="B150" s="537" t="s">
        <v>273</v>
      </c>
      <c r="C150" s="544" t="s">
        <v>30</v>
      </c>
      <c r="D150" s="544">
        <v>6</v>
      </c>
      <c r="E150" s="543">
        <v>50</v>
      </c>
      <c r="F150" s="544">
        <v>25</v>
      </c>
      <c r="G150" s="542">
        <v>27</v>
      </c>
      <c r="H150" s="542">
        <v>27</v>
      </c>
      <c r="I150" s="547">
        <f t="shared" si="52"/>
        <v>0.54</v>
      </c>
      <c r="J150" s="548">
        <f t="shared" si="53"/>
        <v>1.08</v>
      </c>
      <c r="K150" s="535"/>
      <c r="L150" s="535"/>
      <c r="M150" s="535"/>
      <c r="N150" s="536"/>
    </row>
    <row r="151" spans="1:14" ht="39.6" x14ac:dyDescent="0.3">
      <c r="A151" s="755"/>
      <c r="B151" s="537" t="s">
        <v>274</v>
      </c>
      <c r="C151" s="544" t="s">
        <v>30</v>
      </c>
      <c r="D151" s="544">
        <v>23</v>
      </c>
      <c r="E151" s="543">
        <v>106</v>
      </c>
      <c r="F151" s="544">
        <v>53</v>
      </c>
      <c r="G151" s="542">
        <v>56</v>
      </c>
      <c r="H151" s="542">
        <v>56</v>
      </c>
      <c r="I151" s="547">
        <f t="shared" si="52"/>
        <v>0.52830188679245282</v>
      </c>
      <c r="J151" s="548">
        <f t="shared" si="53"/>
        <v>1.0566037735849056</v>
      </c>
      <c r="K151" s="535"/>
      <c r="L151" s="535"/>
      <c r="M151" s="535"/>
      <c r="N151" s="536"/>
    </row>
    <row r="152" spans="1:14" ht="54.6" customHeight="1" x14ac:dyDescent="0.3">
      <c r="A152" s="755"/>
      <c r="B152" s="539" t="s">
        <v>275</v>
      </c>
      <c r="C152" s="544" t="s">
        <v>30</v>
      </c>
      <c r="D152" s="544">
        <v>24</v>
      </c>
      <c r="E152" s="544">
        <v>200</v>
      </c>
      <c r="F152" s="544">
        <v>100</v>
      </c>
      <c r="G152" s="542">
        <v>105</v>
      </c>
      <c r="H152" s="542">
        <v>105</v>
      </c>
      <c r="I152" s="547">
        <f t="shared" si="52"/>
        <v>0.52500000000000002</v>
      </c>
      <c r="J152" s="548">
        <f t="shared" si="53"/>
        <v>1.05</v>
      </c>
      <c r="K152" s="535"/>
      <c r="L152" s="535"/>
      <c r="M152" s="535"/>
      <c r="N152" s="536"/>
    </row>
    <row r="153" spans="1:14" ht="78.599999999999994" customHeight="1" x14ac:dyDescent="0.3">
      <c r="A153" s="755"/>
      <c r="B153" s="540" t="s">
        <v>276</v>
      </c>
      <c r="C153" s="543" t="s">
        <v>64</v>
      </c>
      <c r="D153" s="543">
        <v>4</v>
      </c>
      <c r="E153" s="543">
        <v>10</v>
      </c>
      <c r="F153" s="543">
        <v>5</v>
      </c>
      <c r="G153" s="542">
        <v>10</v>
      </c>
      <c r="H153" s="542">
        <v>10</v>
      </c>
      <c r="I153" s="547">
        <f t="shared" si="52"/>
        <v>1</v>
      </c>
      <c r="J153" s="548">
        <f t="shared" si="53"/>
        <v>2</v>
      </c>
      <c r="K153" s="535"/>
      <c r="L153" s="535"/>
      <c r="M153" s="535"/>
      <c r="N153" s="536"/>
    </row>
    <row r="154" spans="1:14" ht="52.8" x14ac:dyDescent="0.3">
      <c r="A154" s="755"/>
      <c r="B154" s="540" t="s">
        <v>277</v>
      </c>
      <c r="C154" s="543" t="s">
        <v>30</v>
      </c>
      <c r="D154" s="543">
        <v>350</v>
      </c>
      <c r="E154" s="543">
        <v>400</v>
      </c>
      <c r="F154" s="543">
        <v>800</v>
      </c>
      <c r="G154" s="542">
        <v>800</v>
      </c>
      <c r="H154" s="542">
        <v>800</v>
      </c>
      <c r="I154" s="547">
        <f t="shared" si="52"/>
        <v>2</v>
      </c>
      <c r="J154" s="548">
        <f t="shared" si="53"/>
        <v>1</v>
      </c>
      <c r="K154" s="535"/>
      <c r="L154" s="535"/>
      <c r="M154" s="535"/>
      <c r="N154" s="536"/>
    </row>
    <row r="155" spans="1:14" ht="39.6" x14ac:dyDescent="0.3">
      <c r="A155" s="755"/>
      <c r="B155" s="537" t="s">
        <v>278</v>
      </c>
      <c r="C155" s="543" t="s">
        <v>64</v>
      </c>
      <c r="D155" s="543">
        <v>4</v>
      </c>
      <c r="E155" s="543">
        <v>4</v>
      </c>
      <c r="F155" s="543">
        <v>4</v>
      </c>
      <c r="G155" s="542">
        <v>4</v>
      </c>
      <c r="H155" s="542">
        <v>4</v>
      </c>
      <c r="I155" s="547">
        <f t="shared" si="52"/>
        <v>1</v>
      </c>
      <c r="J155" s="548">
        <f t="shared" si="53"/>
        <v>1</v>
      </c>
      <c r="K155" s="535"/>
      <c r="L155" s="535"/>
      <c r="M155" s="535"/>
      <c r="N155" s="536"/>
    </row>
    <row r="156" spans="1:14" ht="28.2" customHeight="1" thickBot="1" x14ac:dyDescent="0.35">
      <c r="A156" s="760"/>
      <c r="B156" s="541" t="s">
        <v>280</v>
      </c>
      <c r="C156" s="545" t="s">
        <v>26</v>
      </c>
      <c r="D156" s="546">
        <v>95</v>
      </c>
      <c r="E156" s="546">
        <v>100</v>
      </c>
      <c r="F156" s="546">
        <v>100</v>
      </c>
      <c r="G156" s="542">
        <v>100</v>
      </c>
      <c r="H156" s="542">
        <v>100</v>
      </c>
      <c r="I156" s="547">
        <f t="shared" si="52"/>
        <v>1</v>
      </c>
      <c r="J156" s="548">
        <f t="shared" si="53"/>
        <v>1</v>
      </c>
      <c r="K156" s="42"/>
      <c r="L156" s="42"/>
      <c r="M156" s="42"/>
      <c r="N156" s="310"/>
    </row>
    <row r="157" spans="1:14" ht="54" customHeight="1" x14ac:dyDescent="0.3">
      <c r="A157" s="718">
        <v>10</v>
      </c>
      <c r="B157" s="25" t="s">
        <v>108</v>
      </c>
      <c r="C157" s="317"/>
      <c r="D157" s="2"/>
      <c r="E157" s="65"/>
      <c r="F157" s="65"/>
      <c r="G157" s="65"/>
      <c r="H157" s="2"/>
      <c r="I157" s="77"/>
      <c r="J157" s="77"/>
      <c r="K157" s="178"/>
      <c r="L157" s="178"/>
      <c r="M157" s="178"/>
      <c r="N157" s="284"/>
    </row>
    <row r="158" spans="1:14" x14ac:dyDescent="0.3">
      <c r="A158" s="719"/>
      <c r="B158" s="285" t="s">
        <v>109</v>
      </c>
      <c r="C158" s="192" t="s">
        <v>20</v>
      </c>
      <c r="D158" s="260"/>
      <c r="E158" s="456">
        <f>SUM(E159:E162)</f>
        <v>172820.7</v>
      </c>
      <c r="F158" s="456">
        <f t="shared" ref="F158:H158" si="54">SUM(F159:F162)</f>
        <v>156918.39999999999</v>
      </c>
      <c r="G158" s="456">
        <f t="shared" si="54"/>
        <v>165494</v>
      </c>
      <c r="H158" s="456">
        <f t="shared" si="54"/>
        <v>153568.19999999998</v>
      </c>
      <c r="I158" s="201">
        <f>G158/E158</f>
        <v>0.95760519428517521</v>
      </c>
      <c r="J158" s="201">
        <f>H158/F158</f>
        <v>0.97865004996227334</v>
      </c>
      <c r="K158" s="195"/>
      <c r="L158" s="195"/>
      <c r="M158" s="195"/>
      <c r="N158" s="254"/>
    </row>
    <row r="159" spans="1:14" x14ac:dyDescent="0.3">
      <c r="A159" s="719"/>
      <c r="B159" s="286" t="s">
        <v>110</v>
      </c>
      <c r="C159" s="181" t="s">
        <v>20</v>
      </c>
      <c r="D159" s="5"/>
      <c r="E159" s="457">
        <v>21.5</v>
      </c>
      <c r="F159" s="457"/>
      <c r="G159" s="491">
        <f>21.5+H159</f>
        <v>21.5</v>
      </c>
      <c r="H159" s="457"/>
      <c r="I159" s="202">
        <f t="shared" ref="I159:I162" si="55">G159/E159</f>
        <v>1</v>
      </c>
      <c r="J159" s="202" t="e">
        <f t="shared" ref="J159:J162" si="56">H159/F159</f>
        <v>#DIV/0!</v>
      </c>
      <c r="K159" s="182"/>
      <c r="L159" s="182"/>
      <c r="M159" s="182"/>
      <c r="N159" s="187"/>
    </row>
    <row r="160" spans="1:14" x14ac:dyDescent="0.3">
      <c r="A160" s="719"/>
      <c r="B160" s="286" t="s">
        <v>111</v>
      </c>
      <c r="C160" s="181" t="s">
        <v>49</v>
      </c>
      <c r="D160" s="5"/>
      <c r="E160" s="457">
        <v>30958</v>
      </c>
      <c r="F160" s="457">
        <v>24688.1</v>
      </c>
      <c r="G160" s="491">
        <f>2046+H160</f>
        <v>25074.799999999999</v>
      </c>
      <c r="H160" s="457">
        <v>23028.799999999999</v>
      </c>
      <c r="I160" s="202">
        <f t="shared" si="55"/>
        <v>0.80996188384262546</v>
      </c>
      <c r="J160" s="202">
        <f t="shared" si="56"/>
        <v>0.93278948157209352</v>
      </c>
      <c r="K160" s="182"/>
      <c r="L160" s="182"/>
      <c r="M160" s="182"/>
      <c r="N160" s="187"/>
    </row>
    <row r="161" spans="1:14" x14ac:dyDescent="0.3">
      <c r="A161" s="719"/>
      <c r="B161" s="286" t="s">
        <v>112</v>
      </c>
      <c r="C161" s="181" t="s">
        <v>20</v>
      </c>
      <c r="D161" s="5"/>
      <c r="E161" s="457">
        <v>137291.70000000001</v>
      </c>
      <c r="F161" s="457">
        <v>129911.4</v>
      </c>
      <c r="G161" s="491">
        <f>8068.4+H161</f>
        <v>136302</v>
      </c>
      <c r="H161" s="457">
        <v>128233.60000000001</v>
      </c>
      <c r="I161" s="202">
        <f t="shared" si="55"/>
        <v>0.99279126123429162</v>
      </c>
      <c r="J161" s="202">
        <f t="shared" si="56"/>
        <v>0.98708504411468134</v>
      </c>
      <c r="K161" s="182"/>
      <c r="L161" s="182"/>
      <c r="M161" s="182"/>
      <c r="N161" s="187"/>
    </row>
    <row r="162" spans="1:14" x14ac:dyDescent="0.3">
      <c r="A162" s="719"/>
      <c r="B162" s="147" t="s">
        <v>113</v>
      </c>
      <c r="C162" s="181" t="s">
        <v>20</v>
      </c>
      <c r="D162" s="185"/>
      <c r="E162" s="457">
        <v>4549.5</v>
      </c>
      <c r="F162" s="457">
        <v>2318.9</v>
      </c>
      <c r="G162" s="491">
        <f>1789.9+H162</f>
        <v>4095.7000000000003</v>
      </c>
      <c r="H162" s="457">
        <v>2305.8000000000002</v>
      </c>
      <c r="I162" s="202">
        <f t="shared" si="55"/>
        <v>0.90025277503022316</v>
      </c>
      <c r="J162" s="202">
        <f t="shared" si="56"/>
        <v>0.99435076976152492</v>
      </c>
      <c r="K162" s="182"/>
      <c r="L162" s="182"/>
      <c r="M162" s="182"/>
      <c r="N162" s="187"/>
    </row>
    <row r="163" spans="1:14" x14ac:dyDescent="0.3">
      <c r="A163" s="719"/>
      <c r="B163" s="233" t="s">
        <v>75</v>
      </c>
      <c r="C163" s="197"/>
      <c r="D163" s="198"/>
      <c r="E163" s="198"/>
      <c r="F163" s="198"/>
      <c r="G163" s="198"/>
      <c r="H163" s="198"/>
      <c r="I163" s="199"/>
      <c r="J163" s="199"/>
      <c r="K163" s="530">
        <v>4</v>
      </c>
      <c r="L163" s="530">
        <v>4</v>
      </c>
      <c r="M163" s="530">
        <v>0</v>
      </c>
      <c r="N163" s="234"/>
    </row>
    <row r="164" spans="1:14" ht="41.4" customHeight="1" x14ac:dyDescent="0.3">
      <c r="A164" s="719"/>
      <c r="B164" s="14" t="s">
        <v>114</v>
      </c>
      <c r="C164" s="13" t="s">
        <v>30</v>
      </c>
      <c r="D164" s="5"/>
      <c r="E164" s="470">
        <v>490</v>
      </c>
      <c r="F164" s="226">
        <v>490</v>
      </c>
      <c r="G164" s="470">
        <v>526</v>
      </c>
      <c r="H164" s="565">
        <v>526</v>
      </c>
      <c r="I164" s="220">
        <f>G164/E164</f>
        <v>1.073469387755102</v>
      </c>
      <c r="J164" s="220">
        <f>H164/F164</f>
        <v>1.073469387755102</v>
      </c>
      <c r="K164" s="182"/>
      <c r="L164" s="182"/>
      <c r="M164" s="182"/>
      <c r="N164" s="183"/>
    </row>
    <row r="165" spans="1:14" ht="27" customHeight="1" x14ac:dyDescent="0.3">
      <c r="A165" s="719"/>
      <c r="B165" s="14" t="s">
        <v>115</v>
      </c>
      <c r="C165" s="13" t="s">
        <v>32</v>
      </c>
      <c r="D165" s="5"/>
      <c r="E165" s="470">
        <v>560</v>
      </c>
      <c r="F165" s="226">
        <v>560</v>
      </c>
      <c r="G165" s="470">
        <v>555</v>
      </c>
      <c r="H165" s="565">
        <v>555</v>
      </c>
      <c r="I165" s="220">
        <f t="shared" ref="I165:I167" si="57">G165/E165</f>
        <v>0.9910714285714286</v>
      </c>
      <c r="J165" s="220">
        <f t="shared" ref="J165:J167" si="58">H165/F165</f>
        <v>0.9910714285714286</v>
      </c>
      <c r="K165" s="182"/>
      <c r="L165" s="182"/>
      <c r="M165" s="182"/>
      <c r="N165" s="183"/>
    </row>
    <row r="166" spans="1:14" ht="13.2" customHeight="1" x14ac:dyDescent="0.3">
      <c r="A166" s="719"/>
      <c r="B166" s="14" t="s">
        <v>116</v>
      </c>
      <c r="C166" s="13" t="s">
        <v>30</v>
      </c>
      <c r="D166" s="5"/>
      <c r="E166" s="564">
        <v>6000</v>
      </c>
      <c r="F166" s="82">
        <v>6000</v>
      </c>
      <c r="G166" s="564">
        <v>6694</v>
      </c>
      <c r="H166" s="566">
        <v>6694</v>
      </c>
      <c r="I166" s="220">
        <f t="shared" si="57"/>
        <v>1.1156666666666666</v>
      </c>
      <c r="J166" s="220">
        <f t="shared" si="58"/>
        <v>1.1156666666666666</v>
      </c>
      <c r="K166" s="182"/>
      <c r="L166" s="182"/>
      <c r="M166" s="182"/>
      <c r="N166" s="183"/>
    </row>
    <row r="167" spans="1:14" ht="40.200000000000003" customHeight="1" thickBot="1" x14ac:dyDescent="0.35">
      <c r="A167" s="720"/>
      <c r="B167" s="177" t="s">
        <v>117</v>
      </c>
      <c r="C167" s="184" t="s">
        <v>118</v>
      </c>
      <c r="D167" s="9"/>
      <c r="E167" s="471">
        <v>4</v>
      </c>
      <c r="F167" s="221">
        <v>4</v>
      </c>
      <c r="G167" s="471">
        <v>4</v>
      </c>
      <c r="H167" s="567">
        <v>4</v>
      </c>
      <c r="I167" s="220">
        <f t="shared" si="57"/>
        <v>1</v>
      </c>
      <c r="J167" s="220">
        <f t="shared" si="58"/>
        <v>1</v>
      </c>
      <c r="K167" s="179"/>
      <c r="L167" s="179"/>
      <c r="M167" s="179"/>
      <c r="N167" s="176"/>
    </row>
    <row r="168" spans="1:14" ht="52.8" collapsed="1" x14ac:dyDescent="0.3">
      <c r="A168" s="718">
        <v>11</v>
      </c>
      <c r="B168" s="25" t="s">
        <v>119</v>
      </c>
      <c r="C168" s="81"/>
      <c r="D168" s="2"/>
      <c r="E168" s="65"/>
      <c r="F168" s="65"/>
      <c r="G168" s="65"/>
      <c r="H168" s="2"/>
      <c r="I168" s="77"/>
      <c r="J168" s="77"/>
      <c r="K168" s="75"/>
      <c r="L168" s="75"/>
      <c r="M168" s="75"/>
      <c r="N168" s="78"/>
    </row>
    <row r="169" spans="1:14" x14ac:dyDescent="0.3">
      <c r="A169" s="719"/>
      <c r="B169" s="191" t="s">
        <v>120</v>
      </c>
      <c r="C169" s="192" t="s">
        <v>20</v>
      </c>
      <c r="D169" s="194"/>
      <c r="E169" s="466">
        <v>2367.4</v>
      </c>
      <c r="F169" s="194">
        <v>393.7</v>
      </c>
      <c r="G169" s="194">
        <f>1501.8+H169</f>
        <v>1894.8</v>
      </c>
      <c r="H169" s="194">
        <v>393</v>
      </c>
      <c r="I169" s="201">
        <f>G169/E169</f>
        <v>0.80037171580636979</v>
      </c>
      <c r="J169" s="201">
        <f>H169/F169</f>
        <v>0.9982219964439929</v>
      </c>
      <c r="K169" s="195"/>
      <c r="L169" s="195"/>
      <c r="M169" s="195"/>
      <c r="N169" s="254"/>
    </row>
    <row r="170" spans="1:14" x14ac:dyDescent="0.3">
      <c r="A170" s="719"/>
      <c r="B170" s="233" t="s">
        <v>75</v>
      </c>
      <c r="C170" s="197"/>
      <c r="D170" s="198"/>
      <c r="E170" s="198"/>
      <c r="F170" s="198"/>
      <c r="G170" s="198"/>
      <c r="H170" s="198"/>
      <c r="I170" s="199"/>
      <c r="J170" s="199"/>
      <c r="K170" s="458">
        <v>4</v>
      </c>
      <c r="L170" s="458">
        <v>4</v>
      </c>
      <c r="M170" s="458">
        <v>0</v>
      </c>
      <c r="N170" s="459"/>
    </row>
    <row r="171" spans="1:14" ht="26.4" x14ac:dyDescent="0.3">
      <c r="A171" s="719"/>
      <c r="B171" s="14" t="s">
        <v>121</v>
      </c>
      <c r="C171" s="13" t="s">
        <v>218</v>
      </c>
      <c r="D171" s="219">
        <v>49</v>
      </c>
      <c r="E171" s="219">
        <v>49</v>
      </c>
      <c r="F171" s="219">
        <v>49</v>
      </c>
      <c r="G171" s="219">
        <v>49</v>
      </c>
      <c r="H171" s="219">
        <v>49</v>
      </c>
      <c r="I171" s="220">
        <f>G171/E171</f>
        <v>1</v>
      </c>
      <c r="J171" s="220">
        <f>H171/F171</f>
        <v>1</v>
      </c>
      <c r="K171" s="79"/>
      <c r="L171" s="79"/>
      <c r="M171" s="79"/>
      <c r="N171" s="80"/>
    </row>
    <row r="172" spans="1:14" ht="26.4" x14ac:dyDescent="0.3">
      <c r="A172" s="719"/>
      <c r="B172" s="64" t="s">
        <v>122</v>
      </c>
      <c r="C172" s="45" t="s">
        <v>211</v>
      </c>
      <c r="D172" s="219">
        <v>0</v>
      </c>
      <c r="E172" s="219">
        <v>47</v>
      </c>
      <c r="F172" s="219">
        <v>47</v>
      </c>
      <c r="G172" s="219">
        <v>47</v>
      </c>
      <c r="H172" s="219">
        <v>47</v>
      </c>
      <c r="I172" s="220">
        <f t="shared" ref="I172:J174" si="59">G172/E172</f>
        <v>1</v>
      </c>
      <c r="J172" s="220">
        <f t="shared" si="59"/>
        <v>1</v>
      </c>
      <c r="K172" s="79"/>
      <c r="L172" s="79"/>
      <c r="M172" s="79"/>
      <c r="N172" s="80"/>
    </row>
    <row r="173" spans="1:14" ht="39.6" x14ac:dyDescent="0.3">
      <c r="A173" s="719"/>
      <c r="B173" s="64" t="s">
        <v>124</v>
      </c>
      <c r="C173" s="45" t="s">
        <v>123</v>
      </c>
      <c r="D173" s="219">
        <v>0</v>
      </c>
      <c r="E173" s="219">
        <v>5</v>
      </c>
      <c r="F173" s="219">
        <v>1</v>
      </c>
      <c r="G173" s="219">
        <v>4</v>
      </c>
      <c r="H173" s="219">
        <v>4</v>
      </c>
      <c r="I173" s="220">
        <f t="shared" si="59"/>
        <v>0.8</v>
      </c>
      <c r="J173" s="220">
        <f t="shared" si="59"/>
        <v>4</v>
      </c>
      <c r="K173" s="79"/>
      <c r="L173" s="79"/>
      <c r="M173" s="79"/>
      <c r="N173" s="80"/>
    </row>
    <row r="174" spans="1:14" ht="40.200000000000003" thickBot="1" x14ac:dyDescent="0.35">
      <c r="A174" s="720"/>
      <c r="B174" s="63" t="s">
        <v>125</v>
      </c>
      <c r="C174" s="47" t="s">
        <v>123</v>
      </c>
      <c r="D174" s="253">
        <v>0</v>
      </c>
      <c r="E174" s="253">
        <v>32</v>
      </c>
      <c r="F174" s="253">
        <v>0</v>
      </c>
      <c r="G174" s="253">
        <v>0</v>
      </c>
      <c r="H174" s="253">
        <v>0</v>
      </c>
      <c r="I174" s="220">
        <f t="shared" si="59"/>
        <v>0</v>
      </c>
      <c r="J174" s="220">
        <v>0</v>
      </c>
      <c r="K174" s="76"/>
      <c r="L174" s="76"/>
      <c r="M174" s="76"/>
      <c r="N174" s="74"/>
    </row>
    <row r="175" spans="1:14" ht="39.6" collapsed="1" x14ac:dyDescent="0.3">
      <c r="A175" s="718">
        <v>12</v>
      </c>
      <c r="B175" s="25" t="s">
        <v>126</v>
      </c>
      <c r="C175" s="186"/>
      <c r="D175" s="2"/>
      <c r="E175" s="65"/>
      <c r="F175" s="65"/>
      <c r="G175" s="65"/>
      <c r="H175" s="2"/>
      <c r="I175" s="77"/>
      <c r="J175" s="77"/>
      <c r="K175" s="178"/>
      <c r="L175" s="178"/>
      <c r="M175" s="178"/>
      <c r="N175" s="180"/>
    </row>
    <row r="176" spans="1:14" x14ac:dyDescent="0.3">
      <c r="A176" s="719"/>
      <c r="B176" s="191" t="s">
        <v>120</v>
      </c>
      <c r="C176" s="192" t="s">
        <v>20</v>
      </c>
      <c r="D176" s="194"/>
      <c r="E176" s="466">
        <v>1462.7</v>
      </c>
      <c r="F176" s="252">
        <v>590.70000000000005</v>
      </c>
      <c r="G176" s="252">
        <f>869+H176</f>
        <v>1454.4299999999998</v>
      </c>
      <c r="H176" s="252">
        <v>585.42999999999995</v>
      </c>
      <c r="I176" s="201">
        <f>G176/E176</f>
        <v>0.99434607233198868</v>
      </c>
      <c r="J176" s="201">
        <f>H176/F176</f>
        <v>0.99107838158117467</v>
      </c>
      <c r="K176" s="195"/>
      <c r="L176" s="195"/>
      <c r="M176" s="195"/>
      <c r="N176" s="272"/>
    </row>
    <row r="177" spans="1:14" x14ac:dyDescent="0.3">
      <c r="A177" s="719"/>
      <c r="B177" s="196" t="s">
        <v>24</v>
      </c>
      <c r="C177" s="216"/>
      <c r="D177" s="217"/>
      <c r="E177" s="216"/>
      <c r="F177" s="216"/>
      <c r="G177" s="216"/>
      <c r="H177" s="216"/>
      <c r="I177" s="199"/>
      <c r="J177" s="199"/>
      <c r="K177" s="458">
        <v>6</v>
      </c>
      <c r="L177" s="458">
        <v>6</v>
      </c>
      <c r="M177" s="458">
        <v>0</v>
      </c>
      <c r="N177" s="459"/>
    </row>
    <row r="178" spans="1:14" ht="26.4" x14ac:dyDescent="0.3">
      <c r="A178" s="719"/>
      <c r="B178" s="12" t="s">
        <v>127</v>
      </c>
      <c r="C178" s="13" t="s">
        <v>26</v>
      </c>
      <c r="D178" s="185"/>
      <c r="E178" s="7"/>
      <c r="F178" s="82"/>
      <c r="G178" s="7"/>
      <c r="H178" s="82"/>
      <c r="I178" s="134"/>
      <c r="J178" s="134"/>
      <c r="K178" s="182"/>
      <c r="L178" s="182"/>
      <c r="M178" s="182"/>
      <c r="N178" s="183"/>
    </row>
    <row r="179" spans="1:14" x14ac:dyDescent="0.3">
      <c r="A179" s="719"/>
      <c r="B179" s="83" t="s">
        <v>212</v>
      </c>
      <c r="C179" s="13" t="s">
        <v>26</v>
      </c>
      <c r="D179" s="185"/>
      <c r="E179" s="239">
        <v>-5</v>
      </c>
      <c r="F179" s="239">
        <v>-5</v>
      </c>
      <c r="G179" s="239">
        <v>-5</v>
      </c>
      <c r="H179" s="5">
        <v>-11</v>
      </c>
      <c r="I179" s="202">
        <f>G179/E179</f>
        <v>1</v>
      </c>
      <c r="J179" s="202">
        <f>H179/F179</f>
        <v>2.2000000000000002</v>
      </c>
      <c r="K179" s="182"/>
      <c r="L179" s="182"/>
      <c r="M179" s="182"/>
      <c r="N179" s="183"/>
    </row>
    <row r="180" spans="1:14" x14ac:dyDescent="0.3">
      <c r="A180" s="719"/>
      <c r="B180" s="83" t="s">
        <v>213</v>
      </c>
      <c r="C180" s="13" t="s">
        <v>26</v>
      </c>
      <c r="D180" s="185"/>
      <c r="E180" s="239">
        <v>-10</v>
      </c>
      <c r="F180" s="239">
        <v>-10</v>
      </c>
      <c r="G180" s="239">
        <v>-10</v>
      </c>
      <c r="H180" s="5">
        <v>-17</v>
      </c>
      <c r="I180" s="202">
        <f t="shared" ref="I180:I183" si="60">G180/E180</f>
        <v>1</v>
      </c>
      <c r="J180" s="202">
        <f t="shared" ref="J180:J183" si="61">H180/F180</f>
        <v>1.7</v>
      </c>
      <c r="K180" s="182"/>
      <c r="L180" s="182"/>
      <c r="M180" s="182"/>
      <c r="N180" s="183"/>
    </row>
    <row r="181" spans="1:14" x14ac:dyDescent="0.3">
      <c r="A181" s="719"/>
      <c r="B181" s="83" t="s">
        <v>214</v>
      </c>
      <c r="C181" s="13" t="s">
        <v>26</v>
      </c>
      <c r="D181" s="185"/>
      <c r="E181" s="239">
        <v>-5</v>
      </c>
      <c r="F181" s="239">
        <v>-5</v>
      </c>
      <c r="G181" s="239">
        <v>-5</v>
      </c>
      <c r="H181" s="5">
        <v>-5</v>
      </c>
      <c r="I181" s="202">
        <f t="shared" si="60"/>
        <v>1</v>
      </c>
      <c r="J181" s="202">
        <f t="shared" si="61"/>
        <v>1</v>
      </c>
      <c r="K181" s="182"/>
      <c r="L181" s="182"/>
      <c r="M181" s="182"/>
      <c r="N181" s="183"/>
    </row>
    <row r="182" spans="1:14" x14ac:dyDescent="0.3">
      <c r="A182" s="719"/>
      <c r="B182" s="83" t="s">
        <v>215</v>
      </c>
      <c r="C182" s="13" t="s">
        <v>26</v>
      </c>
      <c r="D182" s="185"/>
      <c r="E182" s="239">
        <v>-5</v>
      </c>
      <c r="F182" s="239">
        <v>-5</v>
      </c>
      <c r="G182" s="239">
        <v>-5</v>
      </c>
      <c r="H182" s="5">
        <v>-2.2999999999999998</v>
      </c>
      <c r="I182" s="202">
        <f t="shared" si="60"/>
        <v>1</v>
      </c>
      <c r="J182" s="202">
        <f t="shared" si="61"/>
        <v>0.45999999999999996</v>
      </c>
      <c r="K182" s="182"/>
      <c r="L182" s="182"/>
      <c r="M182" s="182"/>
      <c r="N182" s="183"/>
    </row>
    <row r="183" spans="1:14" x14ac:dyDescent="0.3">
      <c r="A183" s="719"/>
      <c r="B183" s="83" t="s">
        <v>216</v>
      </c>
      <c r="C183" s="13" t="s">
        <v>26</v>
      </c>
      <c r="D183" s="185"/>
      <c r="E183" s="240">
        <v>-5</v>
      </c>
      <c r="F183" s="240">
        <v>-5</v>
      </c>
      <c r="G183" s="240">
        <v>-5</v>
      </c>
      <c r="H183" s="5">
        <v>-27.9</v>
      </c>
      <c r="I183" s="202">
        <f t="shared" si="60"/>
        <v>1</v>
      </c>
      <c r="J183" s="202">
        <f t="shared" si="61"/>
        <v>5.58</v>
      </c>
      <c r="K183" s="182"/>
      <c r="L183" s="182"/>
      <c r="M183" s="182"/>
      <c r="N183" s="183"/>
    </row>
    <row r="184" spans="1:14" ht="15" thickBot="1" x14ac:dyDescent="0.35">
      <c r="A184" s="720"/>
      <c r="B184" s="440" t="s">
        <v>217</v>
      </c>
      <c r="C184" s="327" t="s">
        <v>26</v>
      </c>
      <c r="D184" s="327"/>
      <c r="E184" s="441">
        <v>-5</v>
      </c>
      <c r="F184" s="441">
        <v>-5</v>
      </c>
      <c r="G184" s="441">
        <v>-5</v>
      </c>
      <c r="H184" s="327">
        <v>48.6</v>
      </c>
      <c r="I184" s="249">
        <f t="shared" ref="I184" si="62">G184/E184</f>
        <v>1</v>
      </c>
      <c r="J184" s="249">
        <f t="shared" ref="J184" si="63">H184/F184</f>
        <v>-9.7200000000000006</v>
      </c>
      <c r="K184" s="328"/>
      <c r="L184" s="328"/>
      <c r="M184" s="328"/>
      <c r="N184" s="329"/>
    </row>
    <row r="185" spans="1:14" x14ac:dyDescent="0.3">
      <c r="A185" s="730" t="s">
        <v>128</v>
      </c>
      <c r="B185" s="28" t="s">
        <v>129</v>
      </c>
      <c r="C185" s="95"/>
      <c r="D185" s="2"/>
      <c r="E185" s="241"/>
      <c r="F185" s="241"/>
      <c r="G185" s="241"/>
      <c r="H185" s="2"/>
      <c r="I185" s="258"/>
      <c r="J185" s="258"/>
      <c r="K185" s="87"/>
      <c r="L185" s="87"/>
      <c r="M185" s="87"/>
      <c r="N185" s="97"/>
    </row>
    <row r="186" spans="1:14" collapsed="1" x14ac:dyDescent="0.3">
      <c r="A186" s="731"/>
      <c r="B186" s="191" t="s">
        <v>19</v>
      </c>
      <c r="C186" s="192" t="s">
        <v>20</v>
      </c>
      <c r="D186" s="194"/>
      <c r="E186" s="398">
        <f>SUM(E187:E190)</f>
        <v>19516.039999999997</v>
      </c>
      <c r="F186" s="398">
        <f t="shared" ref="F186:H186" si="64">SUM(F187:F190)</f>
        <v>6521.14</v>
      </c>
      <c r="G186" s="398">
        <f t="shared" si="64"/>
        <v>11643.15</v>
      </c>
      <c r="H186" s="398">
        <f t="shared" si="64"/>
        <v>6275.15</v>
      </c>
      <c r="I186" s="201">
        <f>G186/E186</f>
        <v>0.59659387867620695</v>
      </c>
      <c r="J186" s="201">
        <f>H186/F186</f>
        <v>0.96227806794517512</v>
      </c>
      <c r="K186" s="222"/>
      <c r="L186" s="222"/>
      <c r="M186" s="222"/>
      <c r="N186" s="431"/>
    </row>
    <row r="187" spans="1:14" x14ac:dyDescent="0.3">
      <c r="A187" s="731"/>
      <c r="B187" s="11" t="s">
        <v>21</v>
      </c>
      <c r="C187" s="181" t="s">
        <v>20</v>
      </c>
      <c r="D187" s="185"/>
      <c r="E187" s="399">
        <f>E204</f>
        <v>203</v>
      </c>
      <c r="F187" s="399">
        <f t="shared" ref="F187:H187" si="65">F204</f>
        <v>102</v>
      </c>
      <c r="G187" s="399">
        <f t="shared" si="65"/>
        <v>102</v>
      </c>
      <c r="H187" s="399">
        <f t="shared" si="65"/>
        <v>102</v>
      </c>
      <c r="I187" s="202">
        <f t="shared" ref="I187:I190" si="66">G187/E187</f>
        <v>0.50246305418719217</v>
      </c>
      <c r="J187" s="202">
        <f t="shared" ref="J187:J190" si="67">H187/F187</f>
        <v>1</v>
      </c>
      <c r="K187" s="139"/>
      <c r="L187" s="139"/>
      <c r="M187" s="139"/>
      <c r="N187" s="111"/>
    </row>
    <row r="188" spans="1:14" x14ac:dyDescent="0.3">
      <c r="A188" s="731"/>
      <c r="B188" s="11" t="s">
        <v>74</v>
      </c>
      <c r="C188" s="90" t="s">
        <v>20</v>
      </c>
      <c r="D188" s="94"/>
      <c r="E188" s="399">
        <f>E194+E205</f>
        <v>4338.54</v>
      </c>
      <c r="F188" s="399">
        <f t="shared" ref="F188:H188" si="68">F194+F205</f>
        <v>557.54</v>
      </c>
      <c r="G188" s="399">
        <f t="shared" si="68"/>
        <v>1282.54</v>
      </c>
      <c r="H188" s="399">
        <f t="shared" si="68"/>
        <v>546.54</v>
      </c>
      <c r="I188" s="202">
        <f t="shared" si="66"/>
        <v>0.29561557574667974</v>
      </c>
      <c r="J188" s="202">
        <f t="shared" si="67"/>
        <v>0.98027047386734589</v>
      </c>
      <c r="K188" s="98"/>
      <c r="L188" s="98"/>
      <c r="M188" s="98"/>
      <c r="N188" s="99"/>
    </row>
    <row r="189" spans="1:14" x14ac:dyDescent="0.3">
      <c r="A189" s="731"/>
      <c r="B189" s="11" t="s">
        <v>35</v>
      </c>
      <c r="C189" s="90" t="s">
        <v>20</v>
      </c>
      <c r="D189" s="94"/>
      <c r="E189" s="399">
        <f>E195+E206</f>
        <v>11380.4</v>
      </c>
      <c r="F189" s="399">
        <f t="shared" ref="F189:H189" si="69">F195+F206</f>
        <v>4858.6000000000004</v>
      </c>
      <c r="G189" s="399">
        <f t="shared" si="69"/>
        <v>7477.61</v>
      </c>
      <c r="H189" s="399">
        <f t="shared" si="69"/>
        <v>4628.6099999999997</v>
      </c>
      <c r="I189" s="202">
        <f t="shared" si="66"/>
        <v>0.65706038452075499</v>
      </c>
      <c r="J189" s="202">
        <f t="shared" si="67"/>
        <v>0.95266331865146325</v>
      </c>
      <c r="K189" s="98"/>
      <c r="L189" s="98"/>
      <c r="M189" s="98"/>
      <c r="N189" s="99"/>
    </row>
    <row r="190" spans="1:14" x14ac:dyDescent="0.3">
      <c r="A190" s="731"/>
      <c r="B190" s="11" t="s">
        <v>130</v>
      </c>
      <c r="C190" s="90" t="s">
        <v>20</v>
      </c>
      <c r="D190" s="94"/>
      <c r="E190" s="399">
        <f>E196</f>
        <v>3594.1</v>
      </c>
      <c r="F190" s="399">
        <f t="shared" ref="F190:H190" si="70">F196</f>
        <v>1003</v>
      </c>
      <c r="G190" s="399">
        <f t="shared" si="70"/>
        <v>2781</v>
      </c>
      <c r="H190" s="399">
        <f t="shared" si="70"/>
        <v>998</v>
      </c>
      <c r="I190" s="202">
        <f t="shared" si="66"/>
        <v>0.77376811997440254</v>
      </c>
      <c r="J190" s="202">
        <f t="shared" si="67"/>
        <v>0.99501495513459626</v>
      </c>
      <c r="K190" s="98"/>
      <c r="L190" s="98"/>
      <c r="M190" s="98"/>
      <c r="N190" s="99"/>
    </row>
    <row r="191" spans="1:14" ht="27" thickBot="1" x14ac:dyDescent="0.35">
      <c r="A191" s="732"/>
      <c r="B191" s="30" t="s">
        <v>36</v>
      </c>
      <c r="C191" s="93" t="s">
        <v>26</v>
      </c>
      <c r="D191" s="9"/>
      <c r="E191" s="114"/>
      <c r="F191" s="114"/>
      <c r="G191" s="114"/>
      <c r="H191" s="86"/>
      <c r="I191" s="249"/>
      <c r="J191" s="249"/>
      <c r="K191" s="88"/>
      <c r="L191" s="88"/>
      <c r="M191" s="88"/>
      <c r="N191" s="85"/>
    </row>
    <row r="192" spans="1:14" ht="55.2" customHeight="1" collapsed="1" x14ac:dyDescent="0.3">
      <c r="A192" s="718">
        <v>13</v>
      </c>
      <c r="B192" s="25" t="s">
        <v>131</v>
      </c>
      <c r="C192" s="95"/>
      <c r="D192" s="2"/>
      <c r="E192" s="241"/>
      <c r="F192" s="241"/>
      <c r="G192" s="241"/>
      <c r="H192" s="2"/>
      <c r="I192" s="258"/>
      <c r="J192" s="258"/>
      <c r="K192" s="87"/>
      <c r="L192" s="87"/>
      <c r="M192" s="87"/>
      <c r="N192" s="89"/>
    </row>
    <row r="193" spans="1:14" x14ac:dyDescent="0.3">
      <c r="A193" s="719"/>
      <c r="B193" s="191" t="s">
        <v>132</v>
      </c>
      <c r="C193" s="214" t="s">
        <v>20</v>
      </c>
      <c r="D193" s="260"/>
      <c r="E193" s="261">
        <f>SUM(E194:E196)</f>
        <v>5806.74</v>
      </c>
      <c r="F193" s="492">
        <f t="shared" ref="F193:H193" si="71">SUM(F194:F196)</f>
        <v>1455.54</v>
      </c>
      <c r="G193" s="261">
        <f t="shared" si="71"/>
        <v>4725.95</v>
      </c>
      <c r="H193" s="492">
        <f t="shared" si="71"/>
        <v>1382.75</v>
      </c>
      <c r="I193" s="201">
        <f>G193/E193</f>
        <v>0.81387318874273684</v>
      </c>
      <c r="J193" s="201">
        <f>H193/F193</f>
        <v>0.94999106860684013</v>
      </c>
      <c r="K193" s="91"/>
      <c r="L193" s="91"/>
      <c r="M193" s="91"/>
      <c r="N193" s="96"/>
    </row>
    <row r="194" spans="1:14" x14ac:dyDescent="0.3">
      <c r="A194" s="719"/>
      <c r="B194" s="10" t="s">
        <v>74</v>
      </c>
      <c r="C194" s="212" t="s">
        <v>20</v>
      </c>
      <c r="D194" s="5"/>
      <c r="E194" s="262">
        <f>321+F194</f>
        <v>573.54</v>
      </c>
      <c r="F194" s="493">
        <v>252.54</v>
      </c>
      <c r="G194" s="262">
        <f>321+H194</f>
        <v>573.54</v>
      </c>
      <c r="H194" s="493">
        <v>252.54</v>
      </c>
      <c r="I194" s="202">
        <f t="shared" ref="I194:I196" si="72">G194/E194</f>
        <v>1</v>
      </c>
      <c r="J194" s="202">
        <f t="shared" ref="J194:J195" si="73">H194/F194</f>
        <v>1</v>
      </c>
      <c r="K194" s="91"/>
      <c r="L194" s="91"/>
      <c r="M194" s="91"/>
      <c r="N194" s="96"/>
    </row>
    <row r="195" spans="1:14" x14ac:dyDescent="0.3">
      <c r="A195" s="719"/>
      <c r="B195" s="10" t="s">
        <v>23</v>
      </c>
      <c r="C195" s="212" t="s">
        <v>20</v>
      </c>
      <c r="D195" s="5"/>
      <c r="E195" s="262">
        <v>1639.1</v>
      </c>
      <c r="F195" s="493">
        <v>200</v>
      </c>
      <c r="G195" s="262">
        <f>1239.2+H195</f>
        <v>1371.41</v>
      </c>
      <c r="H195" s="493">
        <v>132.21</v>
      </c>
      <c r="I195" s="202">
        <f t="shared" si="72"/>
        <v>0.83668476603013864</v>
      </c>
      <c r="J195" s="202">
        <f t="shared" si="73"/>
        <v>0.66105000000000003</v>
      </c>
      <c r="K195" s="91"/>
      <c r="L195" s="91"/>
      <c r="M195" s="91"/>
      <c r="N195" s="96"/>
    </row>
    <row r="196" spans="1:14" x14ac:dyDescent="0.3">
      <c r="A196" s="719"/>
      <c r="B196" s="10" t="s">
        <v>130</v>
      </c>
      <c r="C196" s="212" t="s">
        <v>20</v>
      </c>
      <c r="D196" s="94"/>
      <c r="E196" s="262">
        <v>3594.1</v>
      </c>
      <c r="F196" s="493">
        <v>1003</v>
      </c>
      <c r="G196" s="262">
        <v>2781</v>
      </c>
      <c r="H196" s="493">
        <v>998</v>
      </c>
      <c r="I196" s="202">
        <f t="shared" si="72"/>
        <v>0.77376811997440254</v>
      </c>
      <c r="J196" s="202">
        <f>H196/F196</f>
        <v>0.99501495513459626</v>
      </c>
      <c r="K196" s="91"/>
      <c r="L196" s="91"/>
      <c r="M196" s="91"/>
      <c r="N196" s="59"/>
    </row>
    <row r="197" spans="1:14" x14ac:dyDescent="0.3">
      <c r="A197" s="719"/>
      <c r="B197" s="196" t="s">
        <v>24</v>
      </c>
      <c r="C197" s="197"/>
      <c r="D197" s="198"/>
      <c r="E197" s="247"/>
      <c r="F197" s="247"/>
      <c r="G197" s="247"/>
      <c r="H197" s="198"/>
      <c r="I197" s="409"/>
      <c r="J197" s="409"/>
      <c r="K197" s="458">
        <v>4</v>
      </c>
      <c r="L197" s="458">
        <v>4</v>
      </c>
      <c r="M197" s="458">
        <v>0</v>
      </c>
      <c r="N197" s="234"/>
    </row>
    <row r="198" spans="1:14" ht="16.5" customHeight="1" x14ac:dyDescent="0.3">
      <c r="A198" s="719"/>
      <c r="B198" s="408" t="s">
        <v>133</v>
      </c>
      <c r="C198" s="13" t="s">
        <v>134</v>
      </c>
      <c r="D198" s="225">
        <v>279.39999999999998</v>
      </c>
      <c r="E198" s="255">
        <v>295.60000000000002</v>
      </c>
      <c r="F198" s="255">
        <v>307.10000000000002</v>
      </c>
      <c r="G198" s="255">
        <v>317.89999999999998</v>
      </c>
      <c r="H198" s="255">
        <v>317.89999999999998</v>
      </c>
      <c r="I198" s="257">
        <f>G198/E198</f>
        <v>1.0754397834912042</v>
      </c>
      <c r="J198" s="257">
        <f>H198/F198</f>
        <v>1.0351676978183</v>
      </c>
      <c r="K198" s="100"/>
      <c r="L198" s="91"/>
      <c r="M198" s="91"/>
      <c r="N198" s="92"/>
    </row>
    <row r="199" spans="1:14" ht="18" customHeight="1" x14ac:dyDescent="0.3">
      <c r="A199" s="719"/>
      <c r="B199" s="408" t="s">
        <v>135</v>
      </c>
      <c r="C199" s="13" t="s">
        <v>136</v>
      </c>
      <c r="D199" s="225">
        <v>122.2</v>
      </c>
      <c r="E199" s="255">
        <v>205</v>
      </c>
      <c r="F199" s="255">
        <v>203.5</v>
      </c>
      <c r="G199" s="255">
        <v>233.1</v>
      </c>
      <c r="H199" s="255">
        <v>233.1</v>
      </c>
      <c r="I199" s="257">
        <f t="shared" ref="I199:I201" si="74">G199/E199</f>
        <v>1.1370731707317072</v>
      </c>
      <c r="J199" s="257">
        <f t="shared" ref="J199:J201" si="75">H199/F199</f>
        <v>1.1454545454545455</v>
      </c>
      <c r="K199" s="100"/>
      <c r="L199" s="91"/>
      <c r="M199" s="91"/>
      <c r="N199" s="92"/>
    </row>
    <row r="200" spans="1:14" ht="17.25" customHeight="1" x14ac:dyDescent="0.3">
      <c r="A200" s="719"/>
      <c r="B200" s="408" t="s">
        <v>137</v>
      </c>
      <c r="C200" s="13" t="s">
        <v>138</v>
      </c>
      <c r="D200" s="226">
        <v>548</v>
      </c>
      <c r="E200" s="255">
        <v>750</v>
      </c>
      <c r="F200" s="255">
        <v>790</v>
      </c>
      <c r="G200" s="255">
        <v>835</v>
      </c>
      <c r="H200" s="256">
        <v>835</v>
      </c>
      <c r="I200" s="257">
        <f t="shared" si="74"/>
        <v>1.1133333333333333</v>
      </c>
      <c r="J200" s="257">
        <f t="shared" si="75"/>
        <v>1.0569620253164558</v>
      </c>
      <c r="K200" s="100"/>
      <c r="L200" s="91"/>
      <c r="M200" s="91"/>
      <c r="N200" s="92"/>
    </row>
    <row r="201" spans="1:14" ht="15" thickBot="1" x14ac:dyDescent="0.35">
      <c r="A201" s="720"/>
      <c r="B201" s="408" t="s">
        <v>139</v>
      </c>
      <c r="C201" s="13" t="s">
        <v>32</v>
      </c>
      <c r="D201" s="226">
        <v>6</v>
      </c>
      <c r="E201" s="255">
        <v>10</v>
      </c>
      <c r="F201" s="255">
        <v>10</v>
      </c>
      <c r="G201" s="255">
        <v>10</v>
      </c>
      <c r="H201" s="255">
        <v>10</v>
      </c>
      <c r="I201" s="259">
        <f t="shared" si="74"/>
        <v>1</v>
      </c>
      <c r="J201" s="259">
        <f t="shared" si="75"/>
        <v>1</v>
      </c>
      <c r="K201" s="100"/>
      <c r="L201" s="91"/>
      <c r="M201" s="91"/>
      <c r="N201" s="92"/>
    </row>
    <row r="202" spans="1:14" ht="39.6" x14ac:dyDescent="0.3">
      <c r="A202" s="718">
        <v>14</v>
      </c>
      <c r="B202" s="25" t="s">
        <v>140</v>
      </c>
      <c r="C202" s="95"/>
      <c r="D202" s="2"/>
      <c r="E202" s="241"/>
      <c r="F202" s="241"/>
      <c r="G202" s="241"/>
      <c r="H202" s="2"/>
      <c r="I202" s="258"/>
      <c r="J202" s="258"/>
      <c r="K202" s="87"/>
      <c r="L202" s="87"/>
      <c r="M202" s="87"/>
      <c r="N202" s="89"/>
    </row>
    <row r="203" spans="1:14" x14ac:dyDescent="0.3">
      <c r="A203" s="719"/>
      <c r="B203" s="191" t="s">
        <v>19</v>
      </c>
      <c r="C203" s="192" t="s">
        <v>20</v>
      </c>
      <c r="D203" s="194"/>
      <c r="E203" s="264">
        <f>SUM(E204:E206)</f>
        <v>13709.3</v>
      </c>
      <c r="F203" s="264">
        <f t="shared" ref="F203:H203" si="76">SUM(F204:F206)</f>
        <v>5065.6000000000004</v>
      </c>
      <c r="G203" s="264">
        <f t="shared" si="76"/>
        <v>6917.2</v>
      </c>
      <c r="H203" s="264">
        <f t="shared" si="76"/>
        <v>4892.3999999999996</v>
      </c>
      <c r="I203" s="201">
        <f>G203/E203</f>
        <v>0.5045625961938246</v>
      </c>
      <c r="J203" s="201">
        <f>H203/F203</f>
        <v>0.96580859128237506</v>
      </c>
      <c r="K203" s="195"/>
      <c r="L203" s="195"/>
      <c r="M203" s="195"/>
      <c r="N203" s="277"/>
    </row>
    <row r="204" spans="1:14" x14ac:dyDescent="0.3">
      <c r="A204" s="719"/>
      <c r="B204" s="10" t="s">
        <v>21</v>
      </c>
      <c r="C204" s="181" t="s">
        <v>20</v>
      </c>
      <c r="D204" s="194"/>
      <c r="E204" s="159">
        <v>203</v>
      </c>
      <c r="F204" s="159">
        <v>102</v>
      </c>
      <c r="G204" s="159">
        <v>102</v>
      </c>
      <c r="H204" s="185">
        <v>102</v>
      </c>
      <c r="I204" s="202">
        <f t="shared" ref="I204:I206" si="77">G204/E204</f>
        <v>0.50246305418719217</v>
      </c>
      <c r="J204" s="202">
        <f t="shared" ref="J204:J206" si="78">H204/F204</f>
        <v>1</v>
      </c>
      <c r="K204" s="195"/>
      <c r="L204" s="195"/>
      <c r="M204" s="195"/>
      <c r="N204" s="277"/>
    </row>
    <row r="205" spans="1:14" x14ac:dyDescent="0.3">
      <c r="A205" s="719"/>
      <c r="B205" s="10" t="s">
        <v>74</v>
      </c>
      <c r="C205" s="90" t="s">
        <v>20</v>
      </c>
      <c r="D205" s="94"/>
      <c r="E205" s="159">
        <v>3765</v>
      </c>
      <c r="F205" s="159">
        <v>305</v>
      </c>
      <c r="G205" s="485">
        <f>415+H205</f>
        <v>709</v>
      </c>
      <c r="H205" s="185">
        <v>294</v>
      </c>
      <c r="I205" s="202">
        <f t="shared" si="77"/>
        <v>0.18831341301460824</v>
      </c>
      <c r="J205" s="202">
        <f t="shared" si="78"/>
        <v>0.9639344262295082</v>
      </c>
      <c r="K205" s="91"/>
      <c r="L205" s="91"/>
      <c r="M205" s="91"/>
      <c r="N205" s="92"/>
    </row>
    <row r="206" spans="1:14" x14ac:dyDescent="0.3">
      <c r="A206" s="719"/>
      <c r="B206" s="10" t="s">
        <v>35</v>
      </c>
      <c r="C206" s="90" t="s">
        <v>20</v>
      </c>
      <c r="D206" s="94"/>
      <c r="E206" s="159">
        <v>9741.2999999999993</v>
      </c>
      <c r="F206" s="159">
        <v>4658.6000000000004</v>
      </c>
      <c r="G206" s="485">
        <f>1609.8+H206</f>
        <v>6106.2</v>
      </c>
      <c r="H206" s="185">
        <v>4496.3999999999996</v>
      </c>
      <c r="I206" s="202">
        <f t="shared" si="77"/>
        <v>0.62683625388808473</v>
      </c>
      <c r="J206" s="202">
        <f t="shared" si="78"/>
        <v>0.96518267290602311</v>
      </c>
      <c r="K206" s="91"/>
      <c r="L206" s="91"/>
      <c r="M206" s="91"/>
      <c r="N206" s="92"/>
    </row>
    <row r="207" spans="1:14" x14ac:dyDescent="0.3">
      <c r="A207" s="719"/>
      <c r="B207" s="196" t="s">
        <v>24</v>
      </c>
      <c r="C207" s="216"/>
      <c r="D207" s="217"/>
      <c r="E207" s="246"/>
      <c r="F207" s="246"/>
      <c r="G207" s="246"/>
      <c r="H207" s="216"/>
      <c r="I207" s="251"/>
      <c r="J207" s="251"/>
      <c r="K207" s="458">
        <v>4</v>
      </c>
      <c r="L207" s="458">
        <v>4</v>
      </c>
      <c r="M207" s="458">
        <v>0</v>
      </c>
      <c r="N207" s="234"/>
    </row>
    <row r="208" spans="1:14" ht="39.6" customHeight="1" x14ac:dyDescent="0.3">
      <c r="A208" s="719"/>
      <c r="B208" s="14" t="s">
        <v>141</v>
      </c>
      <c r="C208" s="82" t="s">
        <v>30</v>
      </c>
      <c r="D208" s="82">
        <v>520</v>
      </c>
      <c r="E208" s="275">
        <v>800</v>
      </c>
      <c r="F208" s="275">
        <v>800</v>
      </c>
      <c r="G208" s="275">
        <v>1024</v>
      </c>
      <c r="H208" s="82">
        <v>1024</v>
      </c>
      <c r="I208" s="232">
        <f>G208/E208</f>
        <v>1.28</v>
      </c>
      <c r="J208" s="232">
        <f>H208/F208</f>
        <v>1.28</v>
      </c>
      <c r="K208" s="91"/>
      <c r="L208" s="91"/>
      <c r="M208" s="91"/>
      <c r="N208" s="92"/>
    </row>
    <row r="209" spans="1:14" ht="12" customHeight="1" x14ac:dyDescent="0.3">
      <c r="A209" s="719"/>
      <c r="B209" s="14" t="s">
        <v>142</v>
      </c>
      <c r="C209" s="82" t="s">
        <v>32</v>
      </c>
      <c r="D209" s="82">
        <v>580</v>
      </c>
      <c r="E209" s="275">
        <v>600</v>
      </c>
      <c r="F209" s="275">
        <v>586</v>
      </c>
      <c r="G209" s="275">
        <v>586</v>
      </c>
      <c r="H209" s="82">
        <v>586</v>
      </c>
      <c r="I209" s="232">
        <f>G209/E209</f>
        <v>0.97666666666666668</v>
      </c>
      <c r="J209" s="232">
        <f>H209/F209</f>
        <v>1</v>
      </c>
      <c r="K209" s="91"/>
      <c r="L209" s="91"/>
      <c r="M209" s="91"/>
      <c r="N209" s="92"/>
    </row>
    <row r="210" spans="1:14" ht="26.4" x14ac:dyDescent="0.3">
      <c r="A210" s="719"/>
      <c r="B210" s="14" t="s">
        <v>143</v>
      </c>
      <c r="C210" s="82" t="s">
        <v>30</v>
      </c>
      <c r="D210" s="82">
        <v>54200</v>
      </c>
      <c r="E210" s="276">
        <v>60000</v>
      </c>
      <c r="F210" s="276">
        <v>54300</v>
      </c>
      <c r="G210" s="276">
        <v>54300</v>
      </c>
      <c r="H210" s="276">
        <v>54300</v>
      </c>
      <c r="I210" s="232">
        <f t="shared" ref="I210" si="79">G210/E210</f>
        <v>0.90500000000000003</v>
      </c>
      <c r="J210" s="232">
        <f>H210/F210</f>
        <v>1</v>
      </c>
      <c r="K210" s="91"/>
      <c r="L210" s="91"/>
      <c r="M210" s="91"/>
      <c r="N210" s="92"/>
    </row>
    <row r="211" spans="1:14" ht="27" thickBot="1" x14ac:dyDescent="0.35">
      <c r="A211" s="720"/>
      <c r="B211" s="14" t="s">
        <v>144</v>
      </c>
      <c r="C211" s="82" t="s">
        <v>30</v>
      </c>
      <c r="D211" s="82">
        <v>15400</v>
      </c>
      <c r="E211" s="276">
        <v>15765</v>
      </c>
      <c r="F211" s="276">
        <v>15565</v>
      </c>
      <c r="G211" s="276">
        <v>14657</v>
      </c>
      <c r="H211" s="276">
        <v>14657</v>
      </c>
      <c r="I211" s="268">
        <f>G211/E211</f>
        <v>0.92971772914684425</v>
      </c>
      <c r="J211" s="268">
        <f>H211/F211</f>
        <v>0.94166398972052678</v>
      </c>
      <c r="K211" s="91"/>
      <c r="L211" s="91"/>
      <c r="M211" s="91"/>
      <c r="N211" s="92"/>
    </row>
    <row r="212" spans="1:14" ht="28.95" customHeight="1" x14ac:dyDescent="0.3">
      <c r="A212" s="730" t="s">
        <v>145</v>
      </c>
      <c r="B212" s="28" t="s">
        <v>146</v>
      </c>
      <c r="C212" s="108"/>
      <c r="D212" s="2"/>
      <c r="E212" s="241"/>
      <c r="F212" s="241"/>
      <c r="G212" s="241"/>
      <c r="H212" s="2"/>
      <c r="I212" s="258"/>
      <c r="J212" s="258"/>
      <c r="K212" s="103"/>
      <c r="L212" s="103"/>
      <c r="M212" s="103"/>
      <c r="N212" s="109"/>
    </row>
    <row r="213" spans="1:14" x14ac:dyDescent="0.3">
      <c r="A213" s="731"/>
      <c r="B213" s="191" t="s">
        <v>19</v>
      </c>
      <c r="C213" s="192" t="s">
        <v>20</v>
      </c>
      <c r="D213" s="194"/>
      <c r="E213" s="423">
        <f>SUM(E214:E217)</f>
        <v>200761.30699999997</v>
      </c>
      <c r="F213" s="423">
        <f t="shared" ref="F213:H213" si="80">SUM(F214:F217)</f>
        <v>83549.56</v>
      </c>
      <c r="G213" s="423">
        <f t="shared" si="80"/>
        <v>107354.06</v>
      </c>
      <c r="H213" s="423">
        <f t="shared" si="80"/>
        <v>82818.36</v>
      </c>
      <c r="I213" s="201">
        <f>G213/E213</f>
        <v>0.53473481321776817</v>
      </c>
      <c r="J213" s="201">
        <f>H213/F213</f>
        <v>0.99124830818977383</v>
      </c>
      <c r="K213" s="222"/>
      <c r="L213" s="222"/>
      <c r="M213" s="222"/>
      <c r="N213" s="431"/>
    </row>
    <row r="214" spans="1:14" x14ac:dyDescent="0.3">
      <c r="A214" s="731"/>
      <c r="B214" s="11" t="s">
        <v>21</v>
      </c>
      <c r="C214" s="105" t="s">
        <v>20</v>
      </c>
      <c r="D214" s="107"/>
      <c r="E214" s="394">
        <f>E245+E254+E263+E274</f>
        <v>33226.19</v>
      </c>
      <c r="F214" s="394">
        <f t="shared" ref="F214:H214" si="81">F245+F254+F263+F274</f>
        <v>32284.300000000003</v>
      </c>
      <c r="G214" s="394">
        <f t="shared" si="81"/>
        <v>33120.6</v>
      </c>
      <c r="H214" s="394">
        <f t="shared" si="81"/>
        <v>32178.7</v>
      </c>
      <c r="I214" s="202">
        <f t="shared" ref="I214:I217" si="82">G214/E214</f>
        <v>0.99682208522854998</v>
      </c>
      <c r="J214" s="202">
        <f t="shared" ref="J214:J217" si="83">H214/F214</f>
        <v>0.99672906025529429</v>
      </c>
      <c r="K214" s="110"/>
      <c r="L214" s="110"/>
      <c r="M214" s="110"/>
      <c r="N214" s="111"/>
    </row>
    <row r="215" spans="1:14" x14ac:dyDescent="0.3">
      <c r="A215" s="731"/>
      <c r="B215" s="11" t="s">
        <v>74</v>
      </c>
      <c r="C215" s="105" t="s">
        <v>20</v>
      </c>
      <c r="D215" s="107"/>
      <c r="E215" s="394">
        <f>E229+E238+E246+E255+E264+E275</f>
        <v>54951.849999999991</v>
      </c>
      <c r="F215" s="394">
        <f t="shared" ref="F215:H215" si="84">F229+F238+F246+F255+F264+F275</f>
        <v>23557.73</v>
      </c>
      <c r="G215" s="394">
        <f t="shared" si="84"/>
        <v>34610.929999999993</v>
      </c>
      <c r="H215" s="394">
        <f t="shared" si="84"/>
        <v>23400.93</v>
      </c>
      <c r="I215" s="202">
        <f t="shared" si="82"/>
        <v>0.6298410335593797</v>
      </c>
      <c r="J215" s="202">
        <f t="shared" si="83"/>
        <v>0.993344010649583</v>
      </c>
      <c r="K215" s="110"/>
      <c r="L215" s="110"/>
      <c r="M215" s="110"/>
      <c r="N215" s="111"/>
    </row>
    <row r="216" spans="1:14" x14ac:dyDescent="0.3">
      <c r="A216" s="731"/>
      <c r="B216" s="11" t="s">
        <v>35</v>
      </c>
      <c r="C216" s="105" t="s">
        <v>20</v>
      </c>
      <c r="D216" s="107"/>
      <c r="E216" s="394">
        <f>E222+E230+E239+E247+E256+E265+E276</f>
        <v>44215.337</v>
      </c>
      <c r="F216" s="394">
        <f t="shared" ref="F216:H216" si="85">F222+F230+F239+F247+F256+F265+F276</f>
        <v>21435.200000000001</v>
      </c>
      <c r="G216" s="394">
        <f t="shared" si="85"/>
        <v>29100.199999999997</v>
      </c>
      <c r="H216" s="394">
        <f t="shared" si="85"/>
        <v>20966.400000000001</v>
      </c>
      <c r="I216" s="202">
        <f t="shared" si="82"/>
        <v>0.65814719449045467</v>
      </c>
      <c r="J216" s="202">
        <f t="shared" si="83"/>
        <v>0.97812943196237967</v>
      </c>
      <c r="K216" s="110"/>
      <c r="L216" s="110"/>
      <c r="M216" s="110"/>
      <c r="N216" s="111"/>
    </row>
    <row r="217" spans="1:14" x14ac:dyDescent="0.3">
      <c r="A217" s="731"/>
      <c r="B217" s="11" t="s">
        <v>147</v>
      </c>
      <c r="C217" s="105" t="s">
        <v>20</v>
      </c>
      <c r="D217" s="107"/>
      <c r="E217" s="394">
        <f>E248+E257+E266</f>
        <v>68367.929999999993</v>
      </c>
      <c r="F217" s="394">
        <f t="shared" ref="F217:H217" si="86">F248+F257+F266</f>
        <v>6272.33</v>
      </c>
      <c r="G217" s="394">
        <f t="shared" si="86"/>
        <v>10522.33</v>
      </c>
      <c r="H217" s="394">
        <f t="shared" si="86"/>
        <v>6272.33</v>
      </c>
      <c r="I217" s="202">
        <f t="shared" si="82"/>
        <v>0.15390739488529198</v>
      </c>
      <c r="J217" s="202">
        <f t="shared" si="83"/>
        <v>1</v>
      </c>
      <c r="K217" s="110"/>
      <c r="L217" s="110"/>
      <c r="M217" s="110"/>
      <c r="N217" s="111"/>
    </row>
    <row r="218" spans="1:14" ht="14.4" customHeight="1" x14ac:dyDescent="0.3">
      <c r="A218" s="731"/>
      <c r="B218" s="11" t="s">
        <v>148</v>
      </c>
      <c r="C218" s="105" t="s">
        <v>20</v>
      </c>
      <c r="D218" s="107"/>
      <c r="E218" s="394"/>
      <c r="F218" s="394"/>
      <c r="G218" s="394"/>
      <c r="H218" s="394"/>
      <c r="I218" s="202"/>
      <c r="J218" s="202"/>
      <c r="K218" s="110"/>
      <c r="L218" s="110"/>
      <c r="M218" s="110"/>
      <c r="N218" s="111"/>
    </row>
    <row r="219" spans="1:14" ht="32.25" customHeight="1" thickBot="1" x14ac:dyDescent="0.35">
      <c r="A219" s="732"/>
      <c r="B219" s="30" t="s">
        <v>36</v>
      </c>
      <c r="C219" s="106" t="s">
        <v>26</v>
      </c>
      <c r="D219" s="9"/>
      <c r="E219" s="114"/>
      <c r="F219" s="114"/>
      <c r="G219" s="245"/>
      <c r="H219" s="101"/>
      <c r="I219" s="249"/>
      <c r="J219" s="249"/>
      <c r="K219" s="104"/>
      <c r="L219" s="104"/>
      <c r="M219" s="104"/>
      <c r="N219" s="102"/>
    </row>
    <row r="220" spans="1:14" ht="39.6" x14ac:dyDescent="0.3">
      <c r="A220" s="751">
        <v>15</v>
      </c>
      <c r="B220" s="320" t="s">
        <v>224</v>
      </c>
      <c r="C220" s="186"/>
      <c r="D220" s="2"/>
      <c r="E220" s="241"/>
      <c r="F220" s="241"/>
      <c r="G220" s="321"/>
      <c r="H220" s="322"/>
      <c r="I220" s="248"/>
      <c r="J220" s="248"/>
      <c r="K220" s="178"/>
      <c r="L220" s="178"/>
      <c r="M220" s="178"/>
      <c r="N220" s="188"/>
    </row>
    <row r="221" spans="1:14" x14ac:dyDescent="0.3">
      <c r="A221" s="752"/>
      <c r="B221" s="407" t="s">
        <v>19</v>
      </c>
      <c r="C221" s="192" t="s">
        <v>20</v>
      </c>
      <c r="D221" s="260"/>
      <c r="E221" s="390">
        <f>SUM(E222:E222)</f>
        <v>470.86700000000002</v>
      </c>
      <c r="F221" s="390">
        <f>SUM(F222:F222)</f>
        <v>299.10000000000002</v>
      </c>
      <c r="G221" s="261">
        <f>SUM(G222:G222)</f>
        <v>458.90000000000003</v>
      </c>
      <c r="H221" s="494">
        <f>SUM(H222:H222)</f>
        <v>299.10000000000002</v>
      </c>
      <c r="I221" s="201">
        <f>G221/E221</f>
        <v>0.97458518010393591</v>
      </c>
      <c r="J221" s="201">
        <f>H221/F221</f>
        <v>1</v>
      </c>
      <c r="K221" s="195"/>
      <c r="L221" s="195"/>
      <c r="M221" s="195"/>
      <c r="N221" s="272"/>
    </row>
    <row r="222" spans="1:14" x14ac:dyDescent="0.3">
      <c r="A222" s="752"/>
      <c r="B222" s="323" t="s">
        <v>35</v>
      </c>
      <c r="C222" s="181" t="s">
        <v>20</v>
      </c>
      <c r="D222" s="5"/>
      <c r="E222" s="391">
        <v>470.86700000000002</v>
      </c>
      <c r="F222" s="391">
        <v>299.10000000000002</v>
      </c>
      <c r="G222" s="495">
        <f>159.8+H222</f>
        <v>458.90000000000003</v>
      </c>
      <c r="H222" s="496">
        <v>299.10000000000002</v>
      </c>
      <c r="I222" s="201">
        <f t="shared" ref="I222" si="87">G222/E222</f>
        <v>0.97458518010393591</v>
      </c>
      <c r="J222" s="201">
        <f t="shared" ref="J222" si="88">H222/F222</f>
        <v>1</v>
      </c>
      <c r="K222" s="182"/>
      <c r="L222" s="182"/>
      <c r="M222" s="182"/>
      <c r="N222" s="183"/>
    </row>
    <row r="223" spans="1:14" x14ac:dyDescent="0.3">
      <c r="A223" s="752"/>
      <c r="B223" s="324" t="s">
        <v>223</v>
      </c>
      <c r="C223" s="197"/>
      <c r="D223" s="198"/>
      <c r="E223" s="247"/>
      <c r="F223" s="247"/>
      <c r="G223" s="296"/>
      <c r="H223" s="325"/>
      <c r="I223" s="251"/>
      <c r="J223" s="251"/>
      <c r="K223" s="530">
        <v>3</v>
      </c>
      <c r="L223" s="530">
        <v>2</v>
      </c>
      <c r="M223" s="530">
        <v>1</v>
      </c>
      <c r="N223" s="234"/>
    </row>
    <row r="224" spans="1:14" ht="15" customHeight="1" x14ac:dyDescent="0.3">
      <c r="A224" s="752"/>
      <c r="B224" s="348" t="s">
        <v>228</v>
      </c>
      <c r="C224" s="349" t="s">
        <v>64</v>
      </c>
      <c r="D224" s="5"/>
      <c r="E224" s="696">
        <v>20</v>
      </c>
      <c r="F224" s="696">
        <v>3</v>
      </c>
      <c r="G224" s="697">
        <v>16</v>
      </c>
      <c r="H224" s="698">
        <v>8</v>
      </c>
      <c r="I224" s="202">
        <f>G224/E224</f>
        <v>0.8</v>
      </c>
      <c r="J224" s="202">
        <f>H224/F224</f>
        <v>2.6666666666666665</v>
      </c>
      <c r="K224" s="182"/>
      <c r="L224" s="182"/>
      <c r="M224" s="182"/>
      <c r="N224" s="183"/>
    </row>
    <row r="225" spans="1:14" ht="42.6" customHeight="1" x14ac:dyDescent="0.3">
      <c r="A225" s="752"/>
      <c r="B225" s="381" t="s">
        <v>229</v>
      </c>
      <c r="C225" s="349" t="s">
        <v>64</v>
      </c>
      <c r="D225" s="5"/>
      <c r="E225" s="696">
        <v>2</v>
      </c>
      <c r="F225" s="696">
        <v>2</v>
      </c>
      <c r="G225" s="697" t="s">
        <v>210</v>
      </c>
      <c r="H225" s="698"/>
      <c r="I225" s="202"/>
      <c r="J225" s="202"/>
      <c r="K225" s="182"/>
      <c r="L225" s="182"/>
      <c r="M225" s="182"/>
      <c r="N225" s="183"/>
    </row>
    <row r="226" spans="1:14" ht="26.4" customHeight="1" thickBot="1" x14ac:dyDescent="0.35">
      <c r="A226" s="753"/>
      <c r="B226" s="382" t="s">
        <v>230</v>
      </c>
      <c r="C226" s="350" t="s">
        <v>64</v>
      </c>
      <c r="D226" s="9"/>
      <c r="E226" s="699">
        <v>1</v>
      </c>
      <c r="F226" s="699">
        <v>1</v>
      </c>
      <c r="G226" s="700">
        <v>1</v>
      </c>
      <c r="H226" s="701">
        <v>1</v>
      </c>
      <c r="I226" s="249">
        <f>G226/E226</f>
        <v>1</v>
      </c>
      <c r="J226" s="249">
        <f>H226/F226</f>
        <v>1</v>
      </c>
      <c r="K226" s="179"/>
      <c r="L226" s="179"/>
      <c r="M226" s="179"/>
      <c r="N226" s="176"/>
    </row>
    <row r="227" spans="1:14" ht="66" customHeight="1" x14ac:dyDescent="0.3">
      <c r="A227" s="718">
        <v>16</v>
      </c>
      <c r="B227" s="445" t="s">
        <v>149</v>
      </c>
      <c r="C227" s="186"/>
      <c r="D227" s="2"/>
      <c r="E227" s="241"/>
      <c r="F227" s="241"/>
      <c r="G227" s="241"/>
      <c r="H227" s="2"/>
      <c r="I227" s="248"/>
      <c r="J227" s="248"/>
      <c r="K227" s="178"/>
      <c r="L227" s="178"/>
      <c r="M227" s="178"/>
      <c r="N227" s="180"/>
    </row>
    <row r="228" spans="1:14" x14ac:dyDescent="0.3">
      <c r="A228" s="719"/>
      <c r="B228" s="191" t="s">
        <v>19</v>
      </c>
      <c r="C228" s="192" t="s">
        <v>20</v>
      </c>
      <c r="D228" s="194"/>
      <c r="E228" s="252">
        <f>SUM(E229:E230)</f>
        <v>33993.26</v>
      </c>
      <c r="F228" s="252">
        <f t="shared" ref="F228:G228" si="89">SUM(F229:F230)</f>
        <v>9535.4</v>
      </c>
      <c r="G228" s="252">
        <f t="shared" si="89"/>
        <v>19235.099999999999</v>
      </c>
      <c r="H228" s="252">
        <f>SUM(H229:H230)</f>
        <v>9407.6</v>
      </c>
      <c r="I228" s="201">
        <f>G228/E228</f>
        <v>0.56585040681593934</v>
      </c>
      <c r="J228" s="201">
        <f>H228/F228</f>
        <v>0.98659731107242499</v>
      </c>
      <c r="K228" s="195"/>
      <c r="L228" s="195"/>
      <c r="M228" s="195"/>
      <c r="N228" s="272"/>
    </row>
    <row r="229" spans="1:14" x14ac:dyDescent="0.3">
      <c r="A229" s="719"/>
      <c r="B229" s="11" t="s">
        <v>74</v>
      </c>
      <c r="C229" s="181" t="s">
        <v>20</v>
      </c>
      <c r="D229" s="185"/>
      <c r="E229" s="190">
        <v>19763</v>
      </c>
      <c r="F229" s="190">
        <v>6461</v>
      </c>
      <c r="G229" s="485">
        <f>5817.3+H229</f>
        <v>12277.3</v>
      </c>
      <c r="H229" s="190">
        <v>6460</v>
      </c>
      <c r="I229" s="202">
        <f t="shared" ref="I229:J230" si="90">G229/E229</f>
        <v>0.62122653443303144</v>
      </c>
      <c r="J229" s="202">
        <f t="shared" si="90"/>
        <v>0.99984522519733787</v>
      </c>
      <c r="K229" s="182"/>
      <c r="L229" s="182"/>
      <c r="M229" s="182"/>
      <c r="N229" s="183"/>
    </row>
    <row r="230" spans="1:14" x14ac:dyDescent="0.3">
      <c r="A230" s="719"/>
      <c r="B230" s="11" t="s">
        <v>35</v>
      </c>
      <c r="C230" s="181" t="s">
        <v>20</v>
      </c>
      <c r="D230" s="185"/>
      <c r="E230" s="190">
        <v>14230.26</v>
      </c>
      <c r="F230" s="190">
        <v>3074.4</v>
      </c>
      <c r="G230" s="485">
        <f>4010.2+H230</f>
        <v>6957.7999999999993</v>
      </c>
      <c r="H230" s="190">
        <v>2947.6</v>
      </c>
      <c r="I230" s="202">
        <f t="shared" si="90"/>
        <v>0.4889439827522476</v>
      </c>
      <c r="J230" s="202">
        <f t="shared" si="90"/>
        <v>0.95875618006765539</v>
      </c>
      <c r="K230" s="182"/>
      <c r="L230" s="182"/>
      <c r="M230" s="182"/>
      <c r="N230" s="183"/>
    </row>
    <row r="231" spans="1:14" x14ac:dyDescent="0.3">
      <c r="A231" s="719"/>
      <c r="B231" s="233" t="s">
        <v>75</v>
      </c>
      <c r="C231" s="21"/>
      <c r="D231" s="22"/>
      <c r="E231" s="242"/>
      <c r="F231" s="242"/>
      <c r="G231" s="242"/>
      <c r="H231" s="22"/>
      <c r="I231" s="250"/>
      <c r="J231" s="250"/>
      <c r="K231" s="458">
        <v>4</v>
      </c>
      <c r="L231" s="458">
        <v>4</v>
      </c>
      <c r="M231" s="458">
        <v>0</v>
      </c>
      <c r="N231" s="459"/>
    </row>
    <row r="232" spans="1:14" ht="14.4" customHeight="1" x14ac:dyDescent="0.3">
      <c r="A232" s="719"/>
      <c r="B232" s="64" t="s">
        <v>150</v>
      </c>
      <c r="C232" s="45" t="s">
        <v>26</v>
      </c>
      <c r="D232" s="112">
        <v>65</v>
      </c>
      <c r="E232" s="386">
        <v>64</v>
      </c>
      <c r="F232" s="386">
        <v>65</v>
      </c>
      <c r="G232" s="386">
        <v>65</v>
      </c>
      <c r="H232" s="386">
        <v>65</v>
      </c>
      <c r="I232" s="202">
        <f>G232/E232</f>
        <v>1.015625</v>
      </c>
      <c r="J232" s="202">
        <f>H232/F232</f>
        <v>1</v>
      </c>
      <c r="K232" s="182"/>
      <c r="L232" s="182"/>
      <c r="M232" s="182"/>
      <c r="N232" s="183"/>
    </row>
    <row r="233" spans="1:14" ht="40.950000000000003" customHeight="1" x14ac:dyDescent="0.3">
      <c r="A233" s="719"/>
      <c r="B233" s="64" t="s">
        <v>151</v>
      </c>
      <c r="C233" s="45" t="s">
        <v>26</v>
      </c>
      <c r="D233" s="112">
        <v>15</v>
      </c>
      <c r="E233" s="386">
        <v>14</v>
      </c>
      <c r="F233" s="386">
        <v>15</v>
      </c>
      <c r="G233" s="386">
        <v>15</v>
      </c>
      <c r="H233" s="386">
        <v>15</v>
      </c>
      <c r="I233" s="202">
        <f t="shared" ref="I233:I235" si="91">G233/E233</f>
        <v>1.0714285714285714</v>
      </c>
      <c r="J233" s="202">
        <f t="shared" ref="J233:J235" si="92">H233/F233</f>
        <v>1</v>
      </c>
      <c r="K233" s="182"/>
      <c r="L233" s="182"/>
      <c r="M233" s="182"/>
      <c r="N233" s="183"/>
    </row>
    <row r="234" spans="1:14" ht="26.4" x14ac:dyDescent="0.3">
      <c r="A234" s="719"/>
      <c r="B234" s="64" t="s">
        <v>152</v>
      </c>
      <c r="C234" s="45" t="s">
        <v>26</v>
      </c>
      <c r="D234" s="112">
        <v>86.8</v>
      </c>
      <c r="E234" s="244">
        <v>90</v>
      </c>
      <c r="F234" s="244">
        <v>87.7</v>
      </c>
      <c r="G234" s="244">
        <f>G235*F234/F235</f>
        <v>87.989479311947932</v>
      </c>
      <c r="H234" s="5">
        <f>1.91*100/1.2</f>
        <v>159.16666666666669</v>
      </c>
      <c r="I234" s="202">
        <f>G234/E234</f>
        <v>0.97766088124386585</v>
      </c>
      <c r="J234" s="202">
        <f t="shared" si="92"/>
        <v>1.8148992778411253</v>
      </c>
      <c r="K234" s="182"/>
      <c r="L234" s="182"/>
      <c r="M234" s="182"/>
      <c r="N234" s="183"/>
    </row>
    <row r="235" spans="1:14" ht="13.95" customHeight="1" thickBot="1" x14ac:dyDescent="0.35">
      <c r="A235" s="720"/>
      <c r="B235" s="63" t="s">
        <v>153</v>
      </c>
      <c r="C235" s="47" t="s">
        <v>154</v>
      </c>
      <c r="D235" s="522">
        <v>212.9</v>
      </c>
      <c r="E235" s="114">
        <v>218.8</v>
      </c>
      <c r="F235" s="114">
        <v>215.1</v>
      </c>
      <c r="G235" s="114">
        <v>215.81</v>
      </c>
      <c r="H235" s="521">
        <v>1.913</v>
      </c>
      <c r="I235" s="249">
        <f t="shared" si="91"/>
        <v>0.98633455210237653</v>
      </c>
      <c r="J235" s="249">
        <f t="shared" si="92"/>
        <v>8.8935378893537885E-3</v>
      </c>
      <c r="K235" s="179"/>
      <c r="L235" s="179"/>
      <c r="M235" s="179"/>
      <c r="N235" s="126"/>
    </row>
    <row r="236" spans="1:14" ht="106.95" customHeight="1" x14ac:dyDescent="0.3">
      <c r="A236" s="718">
        <v>17</v>
      </c>
      <c r="B236" s="442" t="s">
        <v>156</v>
      </c>
      <c r="C236" s="443"/>
      <c r="D236" s="444"/>
      <c r="E236" s="319"/>
      <c r="F236" s="319"/>
      <c r="G236" s="319"/>
      <c r="H236" s="318"/>
      <c r="I236" s="258"/>
      <c r="J236" s="258"/>
      <c r="K236" s="72"/>
      <c r="L236" s="72"/>
      <c r="M236" s="72"/>
      <c r="N236" s="411"/>
    </row>
    <row r="237" spans="1:14" x14ac:dyDescent="0.3">
      <c r="A237" s="719"/>
      <c r="B237" s="191" t="s">
        <v>19</v>
      </c>
      <c r="C237" s="192" t="s">
        <v>20</v>
      </c>
      <c r="D237" s="194"/>
      <c r="E237" s="340">
        <f>SUM(E238:E239)</f>
        <v>10249.200000000001</v>
      </c>
      <c r="F237" s="340">
        <f t="shared" ref="F237:H237" si="93">SUM(F238:F239)</f>
        <v>3804.2</v>
      </c>
      <c r="G237" s="340">
        <f t="shared" si="93"/>
        <v>7605.1</v>
      </c>
      <c r="H237" s="340">
        <f t="shared" si="93"/>
        <v>3801.1</v>
      </c>
      <c r="I237" s="201">
        <f>G237/E237</f>
        <v>0.74201888927916326</v>
      </c>
      <c r="J237" s="201">
        <f>H237/F237</f>
        <v>0.99918511119289211</v>
      </c>
      <c r="K237" s="182"/>
      <c r="L237" s="182"/>
      <c r="M237" s="182"/>
      <c r="N237" s="183"/>
    </row>
    <row r="238" spans="1:14" x14ac:dyDescent="0.3">
      <c r="A238" s="719"/>
      <c r="B238" s="11" t="s">
        <v>74</v>
      </c>
      <c r="C238" s="181" t="s">
        <v>20</v>
      </c>
      <c r="D238" s="185"/>
      <c r="E238" s="339">
        <v>6739.2</v>
      </c>
      <c r="F238" s="339">
        <v>2624.2</v>
      </c>
      <c r="G238" s="486">
        <f>2624+H238</f>
        <v>5246.2</v>
      </c>
      <c r="H238" s="339">
        <v>2622.2</v>
      </c>
      <c r="I238" s="202">
        <f t="shared" ref="I238:I239" si="94">G238/E238</f>
        <v>0.77846035137701808</v>
      </c>
      <c r="J238" s="202">
        <f t="shared" ref="J238:J239" si="95">H238/F238</f>
        <v>0.99923786296776163</v>
      </c>
      <c r="K238" s="182"/>
      <c r="L238" s="182"/>
      <c r="M238" s="182"/>
      <c r="N238" s="59"/>
    </row>
    <row r="239" spans="1:14" x14ac:dyDescent="0.3">
      <c r="A239" s="719"/>
      <c r="B239" s="11" t="s">
        <v>35</v>
      </c>
      <c r="C239" s="181" t="s">
        <v>20</v>
      </c>
      <c r="D239" s="185"/>
      <c r="E239" s="339">
        <v>3510</v>
      </c>
      <c r="F239" s="339">
        <v>1180</v>
      </c>
      <c r="G239" s="486">
        <f>1180+H239</f>
        <v>2358.9</v>
      </c>
      <c r="H239" s="339">
        <v>1178.9000000000001</v>
      </c>
      <c r="I239" s="202">
        <f t="shared" si="94"/>
        <v>0.67205128205128206</v>
      </c>
      <c r="J239" s="202">
        <f t="shared" si="95"/>
        <v>0.99906779661016953</v>
      </c>
      <c r="K239" s="182"/>
      <c r="L239" s="182"/>
      <c r="M239" s="182"/>
      <c r="N239" s="183"/>
    </row>
    <row r="240" spans="1:14" x14ac:dyDescent="0.3">
      <c r="A240" s="719"/>
      <c r="B240" s="233" t="s">
        <v>75</v>
      </c>
      <c r="C240" s="216"/>
      <c r="D240" s="217"/>
      <c r="E240" s="246"/>
      <c r="F240" s="246"/>
      <c r="G240" s="246"/>
      <c r="H240" s="216"/>
      <c r="I240" s="250"/>
      <c r="J240" s="250"/>
      <c r="K240" s="458">
        <v>2</v>
      </c>
      <c r="L240" s="458">
        <v>2</v>
      </c>
      <c r="M240" s="458">
        <v>0</v>
      </c>
      <c r="N240" s="459"/>
    </row>
    <row r="241" spans="1:14" ht="39.6" x14ac:dyDescent="0.3">
      <c r="A241" s="719"/>
      <c r="B241" s="455" t="s">
        <v>157</v>
      </c>
      <c r="C241" s="82" t="s">
        <v>26</v>
      </c>
      <c r="D241" s="219">
        <v>0</v>
      </c>
      <c r="E241" s="275">
        <v>100</v>
      </c>
      <c r="F241" s="275">
        <v>100</v>
      </c>
      <c r="G241" s="275">
        <v>100</v>
      </c>
      <c r="H241" s="82">
        <v>100</v>
      </c>
      <c r="I241" s="232">
        <f>G241/E241</f>
        <v>1</v>
      </c>
      <c r="J241" s="232">
        <f>H241/F241</f>
        <v>1</v>
      </c>
      <c r="K241" s="182"/>
      <c r="L241" s="182"/>
      <c r="M241" s="182"/>
      <c r="N241" s="183"/>
    </row>
    <row r="242" spans="1:14" ht="43.5" customHeight="1" thickBot="1" x14ac:dyDescent="0.35">
      <c r="A242" s="720"/>
      <c r="B242" s="455" t="s">
        <v>158</v>
      </c>
      <c r="C242" s="82" t="s">
        <v>26</v>
      </c>
      <c r="D242" s="219">
        <v>0</v>
      </c>
      <c r="E242" s="275">
        <v>100</v>
      </c>
      <c r="F242" s="275">
        <v>66</v>
      </c>
      <c r="G242" s="275">
        <v>100</v>
      </c>
      <c r="H242" s="82">
        <v>66</v>
      </c>
      <c r="I242" s="268">
        <f>G242/E242</f>
        <v>1</v>
      </c>
      <c r="J242" s="268">
        <f>H242/F242</f>
        <v>1</v>
      </c>
      <c r="K242" s="182"/>
      <c r="L242" s="182"/>
      <c r="M242" s="182"/>
      <c r="N242" s="183"/>
    </row>
    <row r="243" spans="1:14" ht="70.2" customHeight="1" x14ac:dyDescent="0.3">
      <c r="A243" s="718">
        <v>18</v>
      </c>
      <c r="B243" s="25" t="s">
        <v>159</v>
      </c>
      <c r="C243" s="186"/>
      <c r="D243" s="2"/>
      <c r="E243" s="241"/>
      <c r="F243" s="241"/>
      <c r="G243" s="241"/>
      <c r="H243" s="2"/>
      <c r="I243" s="248"/>
      <c r="J243" s="248"/>
      <c r="K243" s="178"/>
      <c r="L243" s="178"/>
      <c r="M243" s="178"/>
      <c r="N243" s="180"/>
    </row>
    <row r="244" spans="1:14" x14ac:dyDescent="0.3">
      <c r="A244" s="719"/>
      <c r="B244" s="191" t="s">
        <v>109</v>
      </c>
      <c r="C244" s="192" t="s">
        <v>20</v>
      </c>
      <c r="D244" s="194"/>
      <c r="E244" s="398">
        <f>SUM(E245:E248)</f>
        <v>34112.1</v>
      </c>
      <c r="F244" s="398">
        <f t="shared" ref="F244:H244" si="96">SUM(F245:F248)</f>
        <v>6962.6</v>
      </c>
      <c r="G244" s="497">
        <f t="shared" si="96"/>
        <v>15265.9</v>
      </c>
      <c r="H244" s="398">
        <f t="shared" si="96"/>
        <v>6962.6</v>
      </c>
      <c r="I244" s="201">
        <f>G244/E244</f>
        <v>0.4475215539354071</v>
      </c>
      <c r="J244" s="201">
        <f>H244/F244</f>
        <v>1</v>
      </c>
      <c r="K244" s="195"/>
      <c r="L244" s="195"/>
      <c r="M244" s="195"/>
      <c r="N244" s="272"/>
    </row>
    <row r="245" spans="1:14" x14ac:dyDescent="0.3">
      <c r="A245" s="719"/>
      <c r="B245" s="11" t="s">
        <v>21</v>
      </c>
      <c r="C245" s="181" t="s">
        <v>20</v>
      </c>
      <c r="D245" s="185"/>
      <c r="E245" s="399">
        <v>1716.5</v>
      </c>
      <c r="F245" s="399">
        <v>774.6</v>
      </c>
      <c r="G245" s="498">
        <f>941.9+H245</f>
        <v>1716.5</v>
      </c>
      <c r="H245" s="399">
        <v>774.6</v>
      </c>
      <c r="I245" s="202">
        <f t="shared" ref="I245:I248" si="97">G245/E245</f>
        <v>1</v>
      </c>
      <c r="J245" s="202">
        <f t="shared" ref="J245:J248" si="98">H245/F245</f>
        <v>1</v>
      </c>
      <c r="K245" s="182"/>
      <c r="L245" s="182"/>
      <c r="M245" s="182"/>
      <c r="N245" s="183"/>
    </row>
    <row r="246" spans="1:14" x14ac:dyDescent="0.3">
      <c r="A246" s="719"/>
      <c r="B246" s="11" t="s">
        <v>74</v>
      </c>
      <c r="C246" s="181" t="s">
        <v>20</v>
      </c>
      <c r="D246" s="185"/>
      <c r="E246" s="399">
        <v>8173</v>
      </c>
      <c r="F246" s="399">
        <v>1417</v>
      </c>
      <c r="G246" s="498">
        <f>1555.7+H246</f>
        <v>2972.7</v>
      </c>
      <c r="H246" s="399">
        <v>1417</v>
      </c>
      <c r="I246" s="202">
        <f t="shared" si="97"/>
        <v>0.36372201150128469</v>
      </c>
      <c r="J246" s="202">
        <f t="shared" si="98"/>
        <v>1</v>
      </c>
      <c r="K246" s="182"/>
      <c r="L246" s="182"/>
      <c r="M246" s="182"/>
      <c r="N246" s="187"/>
    </row>
    <row r="247" spans="1:14" x14ac:dyDescent="0.3">
      <c r="A247" s="719"/>
      <c r="B247" s="11" t="s">
        <v>35</v>
      </c>
      <c r="C247" s="181" t="s">
        <v>20</v>
      </c>
      <c r="D247" s="185"/>
      <c r="E247" s="399">
        <v>8169</v>
      </c>
      <c r="F247" s="399">
        <v>1413</v>
      </c>
      <c r="G247" s="498">
        <f>1555.7+H247</f>
        <v>2968.7</v>
      </c>
      <c r="H247" s="399">
        <v>1413</v>
      </c>
      <c r="I247" s="202">
        <f t="shared" si="97"/>
        <v>0.36341045415595541</v>
      </c>
      <c r="J247" s="202">
        <f t="shared" si="98"/>
        <v>1</v>
      </c>
      <c r="K247" s="182"/>
      <c r="L247" s="182"/>
      <c r="M247" s="182"/>
      <c r="N247" s="183"/>
    </row>
    <row r="248" spans="1:14" x14ac:dyDescent="0.3">
      <c r="A248" s="719"/>
      <c r="B248" s="11" t="s">
        <v>161</v>
      </c>
      <c r="C248" s="181" t="s">
        <v>20</v>
      </c>
      <c r="D248" s="185"/>
      <c r="E248" s="399">
        <v>16053.6</v>
      </c>
      <c r="F248" s="399">
        <v>3358</v>
      </c>
      <c r="G248" s="498">
        <v>7608</v>
      </c>
      <c r="H248" s="399">
        <v>3358</v>
      </c>
      <c r="I248" s="202">
        <f t="shared" si="97"/>
        <v>0.47391239348183584</v>
      </c>
      <c r="J248" s="202">
        <f t="shared" si="98"/>
        <v>1</v>
      </c>
      <c r="K248" s="182"/>
      <c r="L248" s="182"/>
      <c r="M248" s="182"/>
      <c r="N248" s="183"/>
    </row>
    <row r="249" spans="1:14" x14ac:dyDescent="0.3">
      <c r="A249" s="719"/>
      <c r="B249" s="233" t="s">
        <v>75</v>
      </c>
      <c r="C249" s="197"/>
      <c r="D249" s="198"/>
      <c r="E249" s="247"/>
      <c r="F249" s="247"/>
      <c r="G249" s="247"/>
      <c r="H249" s="198"/>
      <c r="I249" s="250"/>
      <c r="J249" s="250"/>
      <c r="K249" s="530">
        <v>2</v>
      </c>
      <c r="L249" s="530">
        <v>2</v>
      </c>
      <c r="M249" s="530">
        <v>0</v>
      </c>
      <c r="N249" s="234"/>
    </row>
    <row r="250" spans="1:14" ht="40.200000000000003" customHeight="1" x14ac:dyDescent="0.3">
      <c r="A250" s="719"/>
      <c r="B250" s="14" t="s">
        <v>162</v>
      </c>
      <c r="C250" s="13" t="s">
        <v>163</v>
      </c>
      <c r="D250" s="5"/>
      <c r="E250" s="472">
        <v>30</v>
      </c>
      <c r="F250" s="472">
        <v>4</v>
      </c>
      <c r="G250" s="473">
        <v>10</v>
      </c>
      <c r="H250" s="473">
        <v>4</v>
      </c>
      <c r="I250" s="467">
        <f>G250/E250</f>
        <v>0.33333333333333331</v>
      </c>
      <c r="J250" s="467">
        <f>H250/F250</f>
        <v>1</v>
      </c>
      <c r="K250" s="182"/>
      <c r="L250" s="182"/>
      <c r="M250" s="182"/>
      <c r="N250" s="183"/>
    </row>
    <row r="251" spans="1:14" ht="40.200000000000003" thickBot="1" x14ac:dyDescent="0.35">
      <c r="A251" s="720"/>
      <c r="B251" s="177" t="s">
        <v>164</v>
      </c>
      <c r="C251" s="184" t="s">
        <v>26</v>
      </c>
      <c r="D251" s="9"/>
      <c r="E251" s="474">
        <v>100</v>
      </c>
      <c r="F251" s="474">
        <v>13.3</v>
      </c>
      <c r="G251" s="475">
        <v>33.299999999999997</v>
      </c>
      <c r="H251" s="475">
        <v>13.3</v>
      </c>
      <c r="I251" s="249">
        <f>G251/E251</f>
        <v>0.33299999999999996</v>
      </c>
      <c r="J251" s="468">
        <f>H251/F251</f>
        <v>1</v>
      </c>
      <c r="K251" s="179"/>
      <c r="L251" s="179"/>
      <c r="M251" s="179"/>
      <c r="N251" s="176"/>
    </row>
    <row r="252" spans="1:14" ht="44.4" customHeight="1" x14ac:dyDescent="0.3">
      <c r="A252" s="718">
        <v>19</v>
      </c>
      <c r="B252" s="316" t="s">
        <v>165</v>
      </c>
      <c r="C252" s="70"/>
      <c r="D252" s="73"/>
      <c r="E252" s="446"/>
      <c r="F252" s="446"/>
      <c r="G252" s="446"/>
      <c r="H252" s="447"/>
      <c r="I252" s="258"/>
      <c r="J252" s="258"/>
      <c r="K252" s="72"/>
      <c r="L252" s="72"/>
      <c r="M252" s="72"/>
      <c r="N252" s="121"/>
    </row>
    <row r="253" spans="1:14" x14ac:dyDescent="0.3">
      <c r="A253" s="719"/>
      <c r="B253" s="191" t="s">
        <v>19</v>
      </c>
      <c r="C253" s="192" t="s">
        <v>20</v>
      </c>
      <c r="D253" s="194"/>
      <c r="E253" s="398">
        <f>SUM(E254:E257)</f>
        <v>68965.62</v>
      </c>
      <c r="F253" s="264">
        <f t="shared" ref="F253:H253" si="99">SUM(F254:F257)</f>
        <v>9978</v>
      </c>
      <c r="G253" s="264">
        <f t="shared" si="99"/>
        <v>12261.199999999999</v>
      </c>
      <c r="H253" s="264">
        <f t="shared" si="99"/>
        <v>9820.0999999999985</v>
      </c>
      <c r="I253" s="201">
        <f>G253/E253</f>
        <v>0.1777871350971687</v>
      </c>
      <c r="J253" s="201">
        <f>H253/F253</f>
        <v>0.98417518540789728</v>
      </c>
      <c r="K253" s="195"/>
      <c r="L253" s="195"/>
      <c r="M253" s="195"/>
      <c r="N253" s="272"/>
    </row>
    <row r="254" spans="1:14" x14ac:dyDescent="0.3">
      <c r="A254" s="719"/>
      <c r="B254" s="11" t="s">
        <v>21</v>
      </c>
      <c r="C254" s="181" t="s">
        <v>20</v>
      </c>
      <c r="D254" s="185"/>
      <c r="E254" s="399">
        <v>2532.59</v>
      </c>
      <c r="F254" s="159">
        <v>2532.6</v>
      </c>
      <c r="G254" s="159">
        <f>H254</f>
        <v>2530.6</v>
      </c>
      <c r="H254" s="185">
        <v>2530.6</v>
      </c>
      <c r="I254" s="202">
        <f t="shared" ref="I254:I257" si="100">G254/E254</f>
        <v>0.99921424312660156</v>
      </c>
      <c r="J254" s="202">
        <f t="shared" ref="J254:J256" si="101">H254/F254</f>
        <v>0.99921029771776038</v>
      </c>
      <c r="K254" s="182"/>
      <c r="L254" s="182"/>
      <c r="M254" s="182"/>
      <c r="N254" s="183"/>
    </row>
    <row r="255" spans="1:14" x14ac:dyDescent="0.3">
      <c r="A255" s="719"/>
      <c r="B255" s="11" t="s">
        <v>74</v>
      </c>
      <c r="C255" s="122" t="s">
        <v>20</v>
      </c>
      <c r="D255" s="128"/>
      <c r="E255" s="399">
        <v>12237.92</v>
      </c>
      <c r="F255" s="159">
        <v>5016.8</v>
      </c>
      <c r="G255" s="485">
        <f>1213+H255</f>
        <v>6095.3</v>
      </c>
      <c r="H255" s="185">
        <v>4882.3</v>
      </c>
      <c r="I255" s="202">
        <f t="shared" si="100"/>
        <v>0.49806666492345103</v>
      </c>
      <c r="J255" s="202">
        <f t="shared" si="101"/>
        <v>0.97319008132674212</v>
      </c>
      <c r="K255" s="123"/>
      <c r="L255" s="123"/>
      <c r="M255" s="123"/>
      <c r="N255" s="124"/>
    </row>
    <row r="256" spans="1:14" x14ac:dyDescent="0.3">
      <c r="A256" s="719"/>
      <c r="B256" s="11" t="s">
        <v>35</v>
      </c>
      <c r="C256" s="122" t="s">
        <v>20</v>
      </c>
      <c r="D256" s="128"/>
      <c r="E256" s="399">
        <v>4795.1099999999997</v>
      </c>
      <c r="F256" s="159">
        <v>2428.6</v>
      </c>
      <c r="G256" s="485">
        <f>1228.1+H256</f>
        <v>3635.2999999999997</v>
      </c>
      <c r="H256" s="185">
        <v>2407.1999999999998</v>
      </c>
      <c r="I256" s="202">
        <f t="shared" si="100"/>
        <v>0.75812650804673931</v>
      </c>
      <c r="J256" s="202">
        <f t="shared" si="101"/>
        <v>0.99118833896071812</v>
      </c>
      <c r="K256" s="123"/>
      <c r="L256" s="123"/>
      <c r="M256" s="123"/>
      <c r="N256" s="124"/>
    </row>
    <row r="257" spans="1:14" x14ac:dyDescent="0.3">
      <c r="A257" s="719"/>
      <c r="B257" s="11" t="s">
        <v>166</v>
      </c>
      <c r="C257" s="122" t="s">
        <v>20</v>
      </c>
      <c r="D257" s="128"/>
      <c r="E257" s="399">
        <v>49400</v>
      </c>
      <c r="F257" s="159">
        <v>0</v>
      </c>
      <c r="G257" s="159">
        <v>0</v>
      </c>
      <c r="H257" s="181">
        <v>0</v>
      </c>
      <c r="I257" s="202">
        <f t="shared" si="100"/>
        <v>0</v>
      </c>
      <c r="J257" s="202">
        <v>0</v>
      </c>
      <c r="K257" s="123"/>
      <c r="L257" s="123"/>
      <c r="M257" s="123"/>
      <c r="N257" s="124"/>
    </row>
    <row r="258" spans="1:14" x14ac:dyDescent="0.3">
      <c r="A258" s="719"/>
      <c r="B258" s="127" t="s">
        <v>24</v>
      </c>
      <c r="C258" s="26"/>
      <c r="D258" s="48"/>
      <c r="E258" s="243"/>
      <c r="F258" s="243"/>
      <c r="G258" s="243"/>
      <c r="H258" s="26"/>
      <c r="I258" s="250"/>
      <c r="J258" s="250"/>
      <c r="K258" s="530">
        <v>2</v>
      </c>
      <c r="L258" s="530">
        <v>2</v>
      </c>
      <c r="M258" s="530">
        <v>0</v>
      </c>
      <c r="N258" s="27"/>
    </row>
    <row r="259" spans="1:14" ht="39.6" x14ac:dyDescent="0.3">
      <c r="A259" s="719"/>
      <c r="B259" s="58" t="s">
        <v>167</v>
      </c>
      <c r="C259" s="13" t="s">
        <v>26</v>
      </c>
      <c r="D259" s="128"/>
      <c r="E259" s="244">
        <v>100</v>
      </c>
      <c r="F259" s="244">
        <v>100</v>
      </c>
      <c r="G259" s="244">
        <v>100</v>
      </c>
      <c r="H259" s="13">
        <v>100</v>
      </c>
      <c r="I259" s="202">
        <f>G259/E259</f>
        <v>1</v>
      </c>
      <c r="J259" s="202">
        <f>H259/F259</f>
        <v>1</v>
      </c>
      <c r="K259" s="123"/>
      <c r="L259" s="123"/>
      <c r="M259" s="123"/>
      <c r="N259" s="130"/>
    </row>
    <row r="260" spans="1:14" ht="27" thickBot="1" x14ac:dyDescent="0.35">
      <c r="A260" s="720"/>
      <c r="B260" s="116" t="s">
        <v>168</v>
      </c>
      <c r="C260" s="125" t="s">
        <v>169</v>
      </c>
      <c r="D260" s="118"/>
      <c r="E260" s="114">
        <v>60</v>
      </c>
      <c r="F260" s="114">
        <v>20</v>
      </c>
      <c r="G260" s="114">
        <v>20</v>
      </c>
      <c r="H260" s="9">
        <v>42.8</v>
      </c>
      <c r="I260" s="249">
        <f>G260/E260</f>
        <v>0.33333333333333331</v>
      </c>
      <c r="J260" s="249">
        <f>H260/F260</f>
        <v>2.1399999999999997</v>
      </c>
      <c r="K260" s="120"/>
      <c r="L260" s="120"/>
      <c r="M260" s="120"/>
      <c r="N260" s="126"/>
    </row>
    <row r="261" spans="1:14" ht="52.8" x14ac:dyDescent="0.3">
      <c r="A261" s="718">
        <v>20</v>
      </c>
      <c r="B261" s="25" t="s">
        <v>256</v>
      </c>
      <c r="C261" s="129"/>
      <c r="D261" s="2"/>
      <c r="E261" s="241"/>
      <c r="F261" s="241"/>
      <c r="G261" s="241"/>
      <c r="H261" s="2"/>
      <c r="I261" s="258"/>
      <c r="J261" s="258"/>
      <c r="K261" s="119"/>
      <c r="L261" s="119"/>
      <c r="M261" s="119"/>
      <c r="N261" s="131"/>
    </row>
    <row r="262" spans="1:14" x14ac:dyDescent="0.3">
      <c r="A262" s="719"/>
      <c r="B262" s="191" t="s">
        <v>19</v>
      </c>
      <c r="C262" s="192" t="s">
        <v>20</v>
      </c>
      <c r="D262" s="128"/>
      <c r="E262" s="398">
        <f>SUM(E263:E266)</f>
        <v>35218.559999999998</v>
      </c>
      <c r="F262" s="398">
        <f t="shared" ref="F262:H262" si="102">SUM(F263:F266)</f>
        <v>35218.559999999998</v>
      </c>
      <c r="G262" s="398">
        <f>SUM(G263:G266)</f>
        <v>35218.559999999998</v>
      </c>
      <c r="H262" s="398">
        <f t="shared" si="102"/>
        <v>35218.559999999998</v>
      </c>
      <c r="I262" s="201">
        <f>G262/E262</f>
        <v>1</v>
      </c>
      <c r="J262" s="201">
        <f>H262/F262</f>
        <v>1</v>
      </c>
      <c r="K262" s="123"/>
      <c r="L262" s="123"/>
      <c r="M262" s="123"/>
      <c r="N262" s="124"/>
    </row>
    <row r="263" spans="1:14" ht="28.5" customHeight="1" x14ac:dyDescent="0.3">
      <c r="A263" s="719"/>
      <c r="B263" s="392" t="s">
        <v>253</v>
      </c>
      <c r="C263" s="122" t="s">
        <v>20</v>
      </c>
      <c r="D263" s="128"/>
      <c r="E263" s="399">
        <f>F263</f>
        <v>19498</v>
      </c>
      <c r="F263" s="399">
        <v>19498</v>
      </c>
      <c r="G263" s="399">
        <f>H263</f>
        <v>19498</v>
      </c>
      <c r="H263" s="399">
        <v>19498</v>
      </c>
      <c r="I263" s="202">
        <f t="shared" ref="I263:I266" si="103">G263/E263</f>
        <v>1</v>
      </c>
      <c r="J263" s="202">
        <f t="shared" ref="J263:J266" si="104">H263/F263</f>
        <v>1</v>
      </c>
      <c r="K263" s="123"/>
      <c r="L263" s="123"/>
      <c r="M263" s="123"/>
      <c r="N263" s="124"/>
    </row>
    <row r="264" spans="1:14" x14ac:dyDescent="0.3">
      <c r="A264" s="719"/>
      <c r="B264" s="11" t="s">
        <v>74</v>
      </c>
      <c r="C264" s="122" t="s">
        <v>20</v>
      </c>
      <c r="D264" s="128"/>
      <c r="E264" s="399">
        <f>F264</f>
        <v>6269.73</v>
      </c>
      <c r="F264" s="399">
        <v>6269.73</v>
      </c>
      <c r="G264" s="399">
        <f>H264</f>
        <v>6269.73</v>
      </c>
      <c r="H264" s="399">
        <v>6269.73</v>
      </c>
      <c r="I264" s="202">
        <f t="shared" si="103"/>
        <v>1</v>
      </c>
      <c r="J264" s="202">
        <f t="shared" si="104"/>
        <v>1</v>
      </c>
      <c r="K264" s="123"/>
      <c r="L264" s="123"/>
      <c r="M264" s="123"/>
      <c r="N264" s="130"/>
    </row>
    <row r="265" spans="1:14" x14ac:dyDescent="0.3">
      <c r="A265" s="719"/>
      <c r="B265" s="11" t="s">
        <v>35</v>
      </c>
      <c r="C265" s="122" t="s">
        <v>20</v>
      </c>
      <c r="D265" s="128"/>
      <c r="E265" s="399">
        <f>F265</f>
        <v>6536.5</v>
      </c>
      <c r="F265" s="399">
        <v>6536.5</v>
      </c>
      <c r="G265" s="399">
        <f>H265</f>
        <v>6536.5</v>
      </c>
      <c r="H265" s="399">
        <v>6536.5</v>
      </c>
      <c r="I265" s="202">
        <f t="shared" si="103"/>
        <v>1</v>
      </c>
      <c r="J265" s="202">
        <f t="shared" si="104"/>
        <v>1</v>
      </c>
      <c r="K265" s="123"/>
      <c r="L265" s="123"/>
      <c r="M265" s="123"/>
      <c r="N265" s="124"/>
    </row>
    <row r="266" spans="1:14" x14ac:dyDescent="0.3">
      <c r="A266" s="719"/>
      <c r="B266" s="11" t="s">
        <v>161</v>
      </c>
      <c r="C266" s="122" t="s">
        <v>20</v>
      </c>
      <c r="D266" s="128"/>
      <c r="E266" s="399">
        <f>F266</f>
        <v>2914.33</v>
      </c>
      <c r="F266" s="399">
        <v>2914.33</v>
      </c>
      <c r="G266" s="399">
        <f>H266</f>
        <v>2914.33</v>
      </c>
      <c r="H266" s="399">
        <v>2914.33</v>
      </c>
      <c r="I266" s="202">
        <f t="shared" si="103"/>
        <v>1</v>
      </c>
      <c r="J266" s="202">
        <f t="shared" si="104"/>
        <v>1</v>
      </c>
      <c r="K266" s="123"/>
      <c r="L266" s="123"/>
      <c r="M266" s="123"/>
      <c r="N266" s="124"/>
    </row>
    <row r="267" spans="1:14" x14ac:dyDescent="0.3">
      <c r="A267" s="719"/>
      <c r="B267" s="265" t="s">
        <v>75</v>
      </c>
      <c r="C267" s="26"/>
      <c r="D267" s="48"/>
      <c r="E267" s="243"/>
      <c r="F267" s="243"/>
      <c r="G267" s="243"/>
      <c r="H267" s="48"/>
      <c r="I267" s="250"/>
      <c r="J267" s="250"/>
      <c r="K267" s="458">
        <v>4</v>
      </c>
      <c r="L267" s="458">
        <v>4</v>
      </c>
      <c r="M267" s="458">
        <v>0</v>
      </c>
      <c r="N267" s="459"/>
    </row>
    <row r="268" spans="1:14" ht="39.6" x14ac:dyDescent="0.3">
      <c r="A268" s="719"/>
      <c r="B268" s="14" t="s">
        <v>227</v>
      </c>
      <c r="C268" s="13" t="s">
        <v>26</v>
      </c>
      <c r="D268" s="5"/>
      <c r="E268" s="275">
        <v>4.2</v>
      </c>
      <c r="F268" s="275">
        <v>4.2</v>
      </c>
      <c r="G268" s="275">
        <v>4.2</v>
      </c>
      <c r="H268" s="219">
        <v>4.2</v>
      </c>
      <c r="I268" s="220">
        <f>G268/E268</f>
        <v>1</v>
      </c>
      <c r="J268" s="220">
        <f>H268/F268</f>
        <v>1</v>
      </c>
      <c r="K268" s="123"/>
      <c r="L268" s="123"/>
      <c r="M268" s="123"/>
      <c r="N268" s="124"/>
    </row>
    <row r="269" spans="1:14" ht="52.8" x14ac:dyDescent="0.3">
      <c r="A269" s="719"/>
      <c r="B269" s="14" t="s">
        <v>170</v>
      </c>
      <c r="C269" s="13" t="s">
        <v>26</v>
      </c>
      <c r="D269" s="5"/>
      <c r="E269" s="275">
        <v>100</v>
      </c>
      <c r="F269" s="275">
        <v>100</v>
      </c>
      <c r="G269" s="275">
        <v>100</v>
      </c>
      <c r="H269" s="82">
        <v>100</v>
      </c>
      <c r="I269" s="220">
        <f t="shared" ref="I269:I271" si="105">G269/E269</f>
        <v>1</v>
      </c>
      <c r="J269" s="220">
        <f t="shared" ref="J269:J271" si="106">H269/F269</f>
        <v>1</v>
      </c>
      <c r="K269" s="123"/>
      <c r="L269" s="123"/>
      <c r="M269" s="123"/>
      <c r="N269" s="124"/>
    </row>
    <row r="270" spans="1:14" ht="26.4" x14ac:dyDescent="0.3">
      <c r="A270" s="719"/>
      <c r="B270" s="14" t="s">
        <v>171</v>
      </c>
      <c r="C270" s="13" t="s">
        <v>26</v>
      </c>
      <c r="D270" s="5"/>
      <c r="E270" s="275">
        <v>23</v>
      </c>
      <c r="F270" s="275">
        <v>23</v>
      </c>
      <c r="G270" s="275">
        <v>23</v>
      </c>
      <c r="H270" s="219">
        <v>23</v>
      </c>
      <c r="I270" s="220">
        <f t="shared" si="105"/>
        <v>1</v>
      </c>
      <c r="J270" s="220">
        <f t="shared" si="106"/>
        <v>1</v>
      </c>
      <c r="K270" s="123"/>
      <c r="L270" s="123"/>
      <c r="M270" s="123"/>
      <c r="N270" s="124"/>
    </row>
    <row r="271" spans="1:14" ht="27" thickBot="1" x14ac:dyDescent="0.35">
      <c r="A271" s="720"/>
      <c r="B271" s="14" t="s">
        <v>172</v>
      </c>
      <c r="C271" s="13" t="s">
        <v>64</v>
      </c>
      <c r="D271" s="5"/>
      <c r="E271" s="275">
        <v>8</v>
      </c>
      <c r="F271" s="275">
        <v>8</v>
      </c>
      <c r="G271" s="275">
        <v>8</v>
      </c>
      <c r="H271" s="82">
        <v>8</v>
      </c>
      <c r="I271" s="347">
        <f t="shared" si="105"/>
        <v>1</v>
      </c>
      <c r="J271" s="347">
        <f t="shared" si="106"/>
        <v>1</v>
      </c>
      <c r="K271" s="123"/>
      <c r="L271" s="123"/>
      <c r="M271" s="123"/>
      <c r="N271" s="124"/>
    </row>
    <row r="272" spans="1:14" ht="57" customHeight="1" x14ac:dyDescent="0.3">
      <c r="A272" s="718">
        <v>21</v>
      </c>
      <c r="B272" s="25" t="s">
        <v>257</v>
      </c>
      <c r="C272" s="186"/>
      <c r="D272" s="2"/>
      <c r="E272" s="241"/>
      <c r="F272" s="241"/>
      <c r="G272" s="241"/>
      <c r="H272" s="2"/>
      <c r="I272" s="248"/>
      <c r="J272" s="248"/>
      <c r="K272" s="178"/>
      <c r="L272" s="178"/>
      <c r="M272" s="178"/>
      <c r="N272" s="188"/>
    </row>
    <row r="273" spans="1:14" x14ac:dyDescent="0.3">
      <c r="A273" s="719"/>
      <c r="B273" s="191" t="s">
        <v>160</v>
      </c>
      <c r="C273" s="192" t="s">
        <v>20</v>
      </c>
      <c r="D273" s="194"/>
      <c r="E273" s="398">
        <f>SUM(E274:E276)</f>
        <v>17751.7</v>
      </c>
      <c r="F273" s="398">
        <f>SUM(F274:F276)</f>
        <v>17751.7</v>
      </c>
      <c r="G273" s="398">
        <f>SUM(G274:G276)</f>
        <v>17309.300000000003</v>
      </c>
      <c r="H273" s="398">
        <f>SUM(H274:H276)</f>
        <v>17309.300000000003</v>
      </c>
      <c r="I273" s="201">
        <f>G273/E273</f>
        <v>0.97507844319135639</v>
      </c>
      <c r="J273" s="201">
        <f>H273/F273</f>
        <v>0.97507844319135639</v>
      </c>
      <c r="K273" s="195"/>
      <c r="L273" s="195"/>
      <c r="M273" s="195"/>
      <c r="N273" s="272"/>
    </row>
    <row r="274" spans="1:14" ht="37.950000000000003" customHeight="1" x14ac:dyDescent="0.3">
      <c r="A274" s="719"/>
      <c r="B274" s="400" t="s">
        <v>247</v>
      </c>
      <c r="C274" s="181" t="s">
        <v>20</v>
      </c>
      <c r="D274" s="185"/>
      <c r="E274" s="399">
        <f>F274</f>
        <v>9479.1</v>
      </c>
      <c r="F274" s="399">
        <v>9479.1</v>
      </c>
      <c r="G274" s="399">
        <f>H274</f>
        <v>9375.5</v>
      </c>
      <c r="H274" s="399">
        <v>9375.5</v>
      </c>
      <c r="I274" s="202">
        <f t="shared" ref="I274:I276" si="107">G274/E274</f>
        <v>0.98907069236530887</v>
      </c>
      <c r="J274" s="202">
        <f t="shared" ref="J274:J276" si="108">H274/F274</f>
        <v>0.98907069236530887</v>
      </c>
      <c r="K274" s="182"/>
      <c r="L274" s="182"/>
      <c r="M274" s="182"/>
      <c r="N274" s="183"/>
    </row>
    <row r="275" spans="1:14" x14ac:dyDescent="0.3">
      <c r="A275" s="719"/>
      <c r="B275" s="11" t="s">
        <v>74</v>
      </c>
      <c r="C275" s="181" t="s">
        <v>20</v>
      </c>
      <c r="D275" s="185"/>
      <c r="E275" s="399">
        <f>F275</f>
        <v>1769</v>
      </c>
      <c r="F275" s="399">
        <v>1769</v>
      </c>
      <c r="G275" s="399">
        <f>H275</f>
        <v>1749.7</v>
      </c>
      <c r="H275" s="399">
        <v>1749.7</v>
      </c>
      <c r="I275" s="202">
        <f t="shared" si="107"/>
        <v>0.98908988128886377</v>
      </c>
      <c r="J275" s="202">
        <f t="shared" si="108"/>
        <v>0.98908988128886377</v>
      </c>
      <c r="K275" s="182"/>
      <c r="L275" s="182"/>
      <c r="M275" s="182"/>
      <c r="N275" s="187"/>
    </row>
    <row r="276" spans="1:14" x14ac:dyDescent="0.3">
      <c r="A276" s="719"/>
      <c r="B276" s="11" t="s">
        <v>35</v>
      </c>
      <c r="C276" s="181" t="s">
        <v>20</v>
      </c>
      <c r="D276" s="185"/>
      <c r="E276" s="399">
        <f>F276</f>
        <v>6503.6</v>
      </c>
      <c r="F276" s="399">
        <v>6503.6</v>
      </c>
      <c r="G276" s="399">
        <f>H276</f>
        <v>6184.1</v>
      </c>
      <c r="H276" s="399">
        <v>6184.1</v>
      </c>
      <c r="I276" s="202">
        <f t="shared" si="107"/>
        <v>0.95087336244541487</v>
      </c>
      <c r="J276" s="202">
        <f t="shared" si="108"/>
        <v>0.95087336244541487</v>
      </c>
      <c r="K276" s="182"/>
      <c r="L276" s="182"/>
      <c r="M276" s="182"/>
      <c r="N276" s="183"/>
    </row>
    <row r="277" spans="1:14" x14ac:dyDescent="0.3">
      <c r="A277" s="719"/>
      <c r="B277" s="278" t="s">
        <v>75</v>
      </c>
      <c r="C277" s="279"/>
      <c r="D277" s="280"/>
      <c r="E277" s="281"/>
      <c r="F277" s="281"/>
      <c r="G277" s="281"/>
      <c r="H277" s="280"/>
      <c r="I277" s="251"/>
      <c r="J277" s="251"/>
      <c r="K277" s="458">
        <v>3</v>
      </c>
      <c r="L277" s="458">
        <v>2</v>
      </c>
      <c r="M277" s="458">
        <v>1</v>
      </c>
      <c r="N277" s="282"/>
    </row>
    <row r="278" spans="1:14" ht="52.8" x14ac:dyDescent="0.3">
      <c r="A278" s="719"/>
      <c r="B278" s="405" t="s">
        <v>173</v>
      </c>
      <c r="C278" s="13" t="s">
        <v>174</v>
      </c>
      <c r="D278" s="5"/>
      <c r="E278" s="275">
        <v>460.4</v>
      </c>
      <c r="F278" s="275">
        <v>460.4</v>
      </c>
      <c r="G278" s="275">
        <v>460.4</v>
      </c>
      <c r="H278" s="219">
        <v>460.4</v>
      </c>
      <c r="I278" s="232">
        <f t="shared" ref="I278:J280" si="109">G278/E278</f>
        <v>1</v>
      </c>
      <c r="J278" s="232">
        <f t="shared" si="109"/>
        <v>1</v>
      </c>
      <c r="K278" s="117"/>
      <c r="L278" s="182"/>
      <c r="M278" s="182"/>
      <c r="N278" s="183"/>
    </row>
    <row r="279" spans="1:14" ht="91.5" customHeight="1" x14ac:dyDescent="0.3">
      <c r="A279" s="719"/>
      <c r="B279" s="406" t="s">
        <v>175</v>
      </c>
      <c r="C279" s="13" t="s">
        <v>174</v>
      </c>
      <c r="D279" s="5"/>
      <c r="E279" s="650">
        <v>553.70000000000005</v>
      </c>
      <c r="F279" s="650">
        <v>553.70000000000005</v>
      </c>
      <c r="G279" s="650">
        <v>661.2</v>
      </c>
      <c r="H279" s="650">
        <v>661.2</v>
      </c>
      <c r="I279" s="232">
        <f t="shared" si="109"/>
        <v>1.1941484558425139</v>
      </c>
      <c r="J279" s="232">
        <f t="shared" si="109"/>
        <v>1.1941484558425139</v>
      </c>
      <c r="K279" s="117"/>
      <c r="L279" s="182"/>
      <c r="M279" s="182"/>
      <c r="N279" s="183"/>
    </row>
    <row r="280" spans="1:14" ht="27" thickBot="1" x14ac:dyDescent="0.35">
      <c r="A280" s="720"/>
      <c r="B280" s="450" t="s">
        <v>176</v>
      </c>
      <c r="C280" s="47" t="s">
        <v>30</v>
      </c>
      <c r="D280" s="184"/>
      <c r="E280" s="342">
        <v>38</v>
      </c>
      <c r="F280" s="342">
        <v>38</v>
      </c>
      <c r="G280" s="342">
        <v>38</v>
      </c>
      <c r="H280" s="221">
        <v>38</v>
      </c>
      <c r="I280" s="268">
        <f t="shared" si="109"/>
        <v>1</v>
      </c>
      <c r="J280" s="268">
        <f t="shared" si="109"/>
        <v>1</v>
      </c>
      <c r="K280" s="451"/>
      <c r="L280" s="179"/>
      <c r="M280" s="179"/>
      <c r="N280" s="176"/>
    </row>
    <row r="281" spans="1:14" ht="66" x14ac:dyDescent="0.3">
      <c r="A281" s="730" t="s">
        <v>177</v>
      </c>
      <c r="B281" s="448" t="s">
        <v>178</v>
      </c>
      <c r="C281" s="317"/>
      <c r="D281" s="318"/>
      <c r="E281" s="319"/>
      <c r="F281" s="319"/>
      <c r="G281" s="319"/>
      <c r="H281" s="318"/>
      <c r="I281" s="258"/>
      <c r="J281" s="258"/>
      <c r="K281" s="72"/>
      <c r="L281" s="72"/>
      <c r="M281" s="72"/>
      <c r="N281" s="449"/>
    </row>
    <row r="282" spans="1:14" x14ac:dyDescent="0.3">
      <c r="A282" s="731"/>
      <c r="B282" s="191" t="s">
        <v>19</v>
      </c>
      <c r="C282" s="192" t="s">
        <v>20</v>
      </c>
      <c r="D282" s="194"/>
      <c r="E282" s="398">
        <f>SUM(E283:E286)</f>
        <v>460217.84</v>
      </c>
      <c r="F282" s="398">
        <f t="shared" ref="F282:H282" si="110">SUM(F283:F286)</f>
        <v>72004.5</v>
      </c>
      <c r="G282" s="398">
        <f t="shared" si="110"/>
        <v>115906.09999999999</v>
      </c>
      <c r="H282" s="398">
        <f t="shared" si="110"/>
        <v>71723.399999999994</v>
      </c>
      <c r="I282" s="201">
        <f>G282/E282</f>
        <v>0.25185051496482619</v>
      </c>
      <c r="J282" s="201">
        <f>H282/F282</f>
        <v>0.99609607732850025</v>
      </c>
      <c r="K282" s="336"/>
      <c r="L282" s="336"/>
      <c r="M282" s="336"/>
      <c r="N282" s="337"/>
    </row>
    <row r="283" spans="1:14" x14ac:dyDescent="0.3">
      <c r="A283" s="731"/>
      <c r="B283" s="11" t="s">
        <v>21</v>
      </c>
      <c r="C283" s="135" t="s">
        <v>20</v>
      </c>
      <c r="D283" s="138"/>
      <c r="E283" s="399">
        <f>E300</f>
        <v>1212</v>
      </c>
      <c r="F283" s="399">
        <f t="shared" ref="F283:H283" si="111">F300</f>
        <v>800</v>
      </c>
      <c r="G283" s="399">
        <f t="shared" si="111"/>
        <v>1212</v>
      </c>
      <c r="H283" s="399">
        <f t="shared" si="111"/>
        <v>800</v>
      </c>
      <c r="I283" s="202">
        <f t="shared" ref="I283:I286" si="112">G283/E283</f>
        <v>1</v>
      </c>
      <c r="J283" s="202">
        <f t="shared" ref="J283:J286" si="113">H283/F283</f>
        <v>1</v>
      </c>
      <c r="K283" s="132"/>
      <c r="L283" s="132"/>
      <c r="M283" s="132"/>
      <c r="N283" s="133"/>
    </row>
    <row r="284" spans="1:14" x14ac:dyDescent="0.3">
      <c r="A284" s="731"/>
      <c r="B284" s="11" t="s">
        <v>74</v>
      </c>
      <c r="C284" s="135" t="s">
        <v>20</v>
      </c>
      <c r="D284" s="138"/>
      <c r="E284" s="399">
        <f>E290+E301+E310+E318</f>
        <v>344334</v>
      </c>
      <c r="F284" s="399">
        <f t="shared" ref="F284:H284" si="114">F290+F301+F310+F318</f>
        <v>54025.5</v>
      </c>
      <c r="G284" s="399">
        <f t="shared" si="114"/>
        <v>60298.400000000001</v>
      </c>
      <c r="H284" s="399">
        <f t="shared" si="114"/>
        <v>53744.4</v>
      </c>
      <c r="I284" s="202">
        <f t="shared" si="112"/>
        <v>0.17511602107256327</v>
      </c>
      <c r="J284" s="202">
        <f t="shared" si="113"/>
        <v>0.99479690146319799</v>
      </c>
      <c r="K284" s="139"/>
      <c r="L284" s="139"/>
      <c r="M284" s="139"/>
      <c r="N284" s="133"/>
    </row>
    <row r="285" spans="1:14" x14ac:dyDescent="0.3">
      <c r="A285" s="731"/>
      <c r="B285" s="11" t="s">
        <v>35</v>
      </c>
      <c r="C285" s="135" t="s">
        <v>20</v>
      </c>
      <c r="D285" s="138"/>
      <c r="E285" s="399">
        <f>E291+E302+E311+E319</f>
        <v>114530.14</v>
      </c>
      <c r="F285" s="399">
        <f t="shared" ref="F285:H285" si="115">F291+F302+F311+F319</f>
        <v>17179</v>
      </c>
      <c r="G285" s="399">
        <f t="shared" si="115"/>
        <v>54253.999999999993</v>
      </c>
      <c r="H285" s="399">
        <f t="shared" si="115"/>
        <v>17179</v>
      </c>
      <c r="I285" s="202">
        <f t="shared" si="112"/>
        <v>0.47370936593633772</v>
      </c>
      <c r="J285" s="202">
        <f t="shared" si="113"/>
        <v>1</v>
      </c>
      <c r="K285" s="132"/>
      <c r="L285" s="132"/>
      <c r="M285" s="132"/>
      <c r="N285" s="133"/>
    </row>
    <row r="286" spans="1:14" x14ac:dyDescent="0.3">
      <c r="A286" s="731"/>
      <c r="B286" s="11" t="s">
        <v>161</v>
      </c>
      <c r="C286" s="135" t="s">
        <v>20</v>
      </c>
      <c r="D286" s="138"/>
      <c r="E286" s="399">
        <f>E303</f>
        <v>141.69999999999999</v>
      </c>
      <c r="F286" s="399">
        <f t="shared" ref="F286:H286" si="116">F303</f>
        <v>0</v>
      </c>
      <c r="G286" s="399">
        <f t="shared" si="116"/>
        <v>141.69999999999999</v>
      </c>
      <c r="H286" s="399">
        <f t="shared" si="116"/>
        <v>0</v>
      </c>
      <c r="I286" s="202">
        <f t="shared" si="112"/>
        <v>1</v>
      </c>
      <c r="J286" s="202" t="e">
        <f t="shared" si="113"/>
        <v>#DIV/0!</v>
      </c>
      <c r="K286" s="132"/>
      <c r="L286" s="132"/>
      <c r="M286" s="132"/>
      <c r="N286" s="133"/>
    </row>
    <row r="287" spans="1:14" ht="27" thickBot="1" x14ac:dyDescent="0.35">
      <c r="A287" s="732"/>
      <c r="B287" s="12" t="s">
        <v>36</v>
      </c>
      <c r="C287" s="13" t="s">
        <v>26</v>
      </c>
      <c r="D287" s="5"/>
      <c r="E287" s="244"/>
      <c r="F287" s="244"/>
      <c r="G287" s="244"/>
      <c r="H287" s="134"/>
      <c r="I287" s="249"/>
      <c r="J287" s="249"/>
      <c r="K287" s="136"/>
      <c r="L287" s="136"/>
      <c r="M287" s="136"/>
      <c r="N287" s="137"/>
    </row>
    <row r="288" spans="1:14" ht="26.4" x14ac:dyDescent="0.3">
      <c r="A288" s="718">
        <v>22</v>
      </c>
      <c r="B288" s="25" t="s">
        <v>179</v>
      </c>
      <c r="C288" s="146"/>
      <c r="D288" s="2"/>
      <c r="E288" s="241"/>
      <c r="F288" s="241"/>
      <c r="G288" s="241"/>
      <c r="H288" s="2"/>
      <c r="I288" s="258"/>
      <c r="J288" s="258"/>
      <c r="K288" s="140"/>
      <c r="L288" s="140"/>
      <c r="M288" s="140"/>
      <c r="N288" s="141"/>
    </row>
    <row r="289" spans="1:14" x14ac:dyDescent="0.3">
      <c r="A289" s="719"/>
      <c r="B289" s="263" t="s">
        <v>19</v>
      </c>
      <c r="C289" s="192" t="s">
        <v>20</v>
      </c>
      <c r="D289" s="194"/>
      <c r="E289" s="398">
        <f>SUM(E290:E291)</f>
        <v>15671.4</v>
      </c>
      <c r="F289" s="398">
        <f>SUM(F290:F291)</f>
        <v>2932</v>
      </c>
      <c r="G289" s="398">
        <f>SUM(G290:G291)</f>
        <v>9956.2000000000007</v>
      </c>
      <c r="H289" s="398">
        <f>SUM(H290:H291)</f>
        <v>2932</v>
      </c>
      <c r="I289" s="201">
        <f>G289/E289</f>
        <v>0.6353101828809169</v>
      </c>
      <c r="J289" s="201">
        <f>H289/F289</f>
        <v>1</v>
      </c>
      <c r="K289" s="195"/>
      <c r="L289" s="195"/>
      <c r="M289" s="195"/>
      <c r="N289" s="272"/>
    </row>
    <row r="290" spans="1:14" x14ac:dyDescent="0.3">
      <c r="A290" s="719"/>
      <c r="B290" s="10" t="s">
        <v>22</v>
      </c>
      <c r="C290" s="142" t="s">
        <v>49</v>
      </c>
      <c r="D290" s="145"/>
      <c r="E290" s="399">
        <v>2700</v>
      </c>
      <c r="F290" s="399">
        <v>0</v>
      </c>
      <c r="G290" s="499">
        <f>2700+H290</f>
        <v>2700</v>
      </c>
      <c r="H290" s="399">
        <v>0</v>
      </c>
      <c r="I290" s="202">
        <f t="shared" ref="I290:I291" si="117">G290/E290</f>
        <v>1</v>
      </c>
      <c r="J290" s="202">
        <v>1</v>
      </c>
      <c r="K290" s="143"/>
      <c r="L290" s="143"/>
      <c r="M290" s="143"/>
      <c r="N290" s="144"/>
    </row>
    <row r="291" spans="1:14" x14ac:dyDescent="0.3">
      <c r="A291" s="719"/>
      <c r="B291" s="10" t="s">
        <v>180</v>
      </c>
      <c r="C291" s="142" t="s">
        <v>20</v>
      </c>
      <c r="D291" s="145"/>
      <c r="E291" s="399">
        <v>12971.4</v>
      </c>
      <c r="F291" s="399">
        <v>2932</v>
      </c>
      <c r="G291" s="499">
        <f>4324.2+H291</f>
        <v>7256.2</v>
      </c>
      <c r="H291" s="399">
        <v>2932</v>
      </c>
      <c r="I291" s="202">
        <f t="shared" si="117"/>
        <v>0.55939991057249028</v>
      </c>
      <c r="J291" s="202">
        <f t="shared" ref="J291" si="118">H291/F291</f>
        <v>1</v>
      </c>
      <c r="K291" s="143"/>
      <c r="L291" s="143"/>
      <c r="M291" s="143"/>
      <c r="N291" s="144"/>
    </row>
    <row r="292" spans="1:14" x14ac:dyDescent="0.3">
      <c r="A292" s="719"/>
      <c r="B292" s="61" t="s">
        <v>24</v>
      </c>
      <c r="C292" s="26"/>
      <c r="D292" s="48"/>
      <c r="E292" s="243"/>
      <c r="F292" s="243"/>
      <c r="G292" s="243"/>
      <c r="H292" s="26"/>
      <c r="I292" s="250"/>
      <c r="J292" s="250"/>
      <c r="K292" s="458">
        <v>5</v>
      </c>
      <c r="L292" s="458">
        <v>5</v>
      </c>
      <c r="M292" s="458">
        <v>0</v>
      </c>
      <c r="N292" s="27"/>
    </row>
    <row r="293" spans="1:14" ht="26.4" x14ac:dyDescent="0.3">
      <c r="A293" s="719"/>
      <c r="B293" s="403" t="s">
        <v>181</v>
      </c>
      <c r="C293" s="13" t="s">
        <v>26</v>
      </c>
      <c r="D293" s="384">
        <v>75.7</v>
      </c>
      <c r="E293" s="275">
        <v>62</v>
      </c>
      <c r="F293" s="275">
        <v>84</v>
      </c>
      <c r="G293" s="275">
        <v>84</v>
      </c>
      <c r="H293" s="219">
        <v>84</v>
      </c>
      <c r="I293" s="257">
        <f>G293/E293</f>
        <v>1.3548387096774193</v>
      </c>
      <c r="J293" s="257">
        <f>H293/F293</f>
        <v>1</v>
      </c>
      <c r="K293" s="143"/>
      <c r="L293" s="143"/>
      <c r="M293" s="143"/>
      <c r="N293" s="144"/>
    </row>
    <row r="294" spans="1:14" ht="30" customHeight="1" x14ac:dyDescent="0.3">
      <c r="A294" s="719"/>
      <c r="B294" s="403" t="s">
        <v>182</v>
      </c>
      <c r="C294" s="13" t="s">
        <v>26</v>
      </c>
      <c r="D294" s="384">
        <v>37</v>
      </c>
      <c r="E294" s="275">
        <v>22</v>
      </c>
      <c r="F294" s="275">
        <v>42.9</v>
      </c>
      <c r="G294" s="275">
        <v>42.9</v>
      </c>
      <c r="H294" s="219">
        <v>42.9</v>
      </c>
      <c r="I294" s="257">
        <f t="shared" ref="I294:I297" si="119">G294/E294</f>
        <v>1.95</v>
      </c>
      <c r="J294" s="257">
        <f t="shared" ref="J294:J297" si="120">H294/F294</f>
        <v>1</v>
      </c>
      <c r="K294" s="143"/>
      <c r="L294" s="143"/>
      <c r="M294" s="143"/>
      <c r="N294" s="144"/>
    </row>
    <row r="295" spans="1:14" ht="31.5" customHeight="1" x14ac:dyDescent="0.3">
      <c r="A295" s="719"/>
      <c r="B295" s="403" t="s">
        <v>183</v>
      </c>
      <c r="C295" s="13" t="s">
        <v>26</v>
      </c>
      <c r="D295" s="384">
        <v>95</v>
      </c>
      <c r="E295" s="275">
        <v>100</v>
      </c>
      <c r="F295" s="275">
        <v>100</v>
      </c>
      <c r="G295" s="275">
        <v>100</v>
      </c>
      <c r="H295" s="219">
        <v>100</v>
      </c>
      <c r="I295" s="257">
        <f t="shared" si="119"/>
        <v>1</v>
      </c>
      <c r="J295" s="257">
        <f t="shared" si="120"/>
        <v>1</v>
      </c>
      <c r="K295" s="143"/>
      <c r="L295" s="143"/>
      <c r="M295" s="143"/>
      <c r="N295" s="144"/>
    </row>
    <row r="296" spans="1:14" ht="39.6" x14ac:dyDescent="0.3">
      <c r="A296" s="719"/>
      <c r="B296" s="403" t="s">
        <v>184</v>
      </c>
      <c r="C296" s="13" t="s">
        <v>26</v>
      </c>
      <c r="D296" s="384">
        <v>95</v>
      </c>
      <c r="E296" s="275">
        <v>98</v>
      </c>
      <c r="F296" s="275">
        <v>95</v>
      </c>
      <c r="G296" s="275">
        <v>95</v>
      </c>
      <c r="H296" s="219">
        <v>95</v>
      </c>
      <c r="I296" s="257">
        <f t="shared" si="119"/>
        <v>0.96938775510204078</v>
      </c>
      <c r="J296" s="257">
        <f t="shared" si="120"/>
        <v>1</v>
      </c>
      <c r="K296" s="143"/>
      <c r="L296" s="143"/>
      <c r="M296" s="143"/>
      <c r="N296" s="144"/>
    </row>
    <row r="297" spans="1:14" ht="27" thickBot="1" x14ac:dyDescent="0.35">
      <c r="A297" s="720"/>
      <c r="B297" s="404" t="s">
        <v>185</v>
      </c>
      <c r="C297" s="148" t="s">
        <v>26</v>
      </c>
      <c r="D297" s="385">
        <v>0</v>
      </c>
      <c r="E297" s="379">
        <v>80</v>
      </c>
      <c r="F297" s="379">
        <v>80</v>
      </c>
      <c r="G297" s="379">
        <v>80</v>
      </c>
      <c r="H297" s="380">
        <v>80</v>
      </c>
      <c r="I297" s="259">
        <f t="shared" si="119"/>
        <v>1</v>
      </c>
      <c r="J297" s="259">
        <f t="shared" si="120"/>
        <v>1</v>
      </c>
      <c r="K297" s="149"/>
      <c r="L297" s="149"/>
      <c r="M297" s="149"/>
      <c r="N297" s="150"/>
    </row>
    <row r="298" spans="1:14" ht="52.8" x14ac:dyDescent="0.3">
      <c r="A298" s="718">
        <v>23</v>
      </c>
      <c r="B298" s="25" t="s">
        <v>186</v>
      </c>
      <c r="C298" s="186"/>
      <c r="D298" s="2"/>
      <c r="E298" s="241"/>
      <c r="F298" s="241"/>
      <c r="G298" s="241"/>
      <c r="H298" s="2"/>
      <c r="I298" s="258"/>
      <c r="J298" s="258"/>
      <c r="K298" s="178"/>
      <c r="L298" s="178"/>
      <c r="M298" s="178"/>
      <c r="N298" s="180"/>
    </row>
    <row r="299" spans="1:14" x14ac:dyDescent="0.3">
      <c r="A299" s="719"/>
      <c r="B299" s="263" t="s">
        <v>187</v>
      </c>
      <c r="C299" s="192" t="s">
        <v>20</v>
      </c>
      <c r="D299" s="260"/>
      <c r="E299" s="423">
        <f>SUM(E300:E303)</f>
        <v>2976.7</v>
      </c>
      <c r="F299" s="423">
        <f t="shared" ref="F299:G299" si="121">SUM(F300:F303)</f>
        <v>1220</v>
      </c>
      <c r="G299" s="398">
        <f t="shared" si="121"/>
        <v>2976.7</v>
      </c>
      <c r="H299" s="423">
        <f>SUM(H300:H303)</f>
        <v>1220</v>
      </c>
      <c r="I299" s="201">
        <f>G299/E299</f>
        <v>1</v>
      </c>
      <c r="J299" s="201">
        <f>H299/F299</f>
        <v>1</v>
      </c>
      <c r="K299" s="195"/>
      <c r="L299" s="195"/>
      <c r="M299" s="195"/>
      <c r="N299" s="254"/>
    </row>
    <row r="300" spans="1:14" x14ac:dyDescent="0.3">
      <c r="A300" s="719"/>
      <c r="B300" s="147" t="s">
        <v>21</v>
      </c>
      <c r="C300" s="181" t="s">
        <v>20</v>
      </c>
      <c r="D300" s="5"/>
      <c r="E300" s="394">
        <v>1212</v>
      </c>
      <c r="F300" s="394">
        <v>800</v>
      </c>
      <c r="G300" s="499">
        <f>412+H300</f>
        <v>1212</v>
      </c>
      <c r="H300" s="394">
        <v>800</v>
      </c>
      <c r="I300" s="202">
        <f t="shared" ref="I300:I303" si="122">G300/E300</f>
        <v>1</v>
      </c>
      <c r="J300" s="202">
        <f t="shared" ref="J300:J302" si="123">H300/F300</f>
        <v>1</v>
      </c>
      <c r="K300" s="182"/>
      <c r="L300" s="182"/>
      <c r="M300" s="182"/>
      <c r="N300" s="187"/>
    </row>
    <row r="301" spans="1:14" x14ac:dyDescent="0.3">
      <c r="A301" s="719"/>
      <c r="B301" s="147" t="s">
        <v>188</v>
      </c>
      <c r="C301" s="181" t="s">
        <v>20</v>
      </c>
      <c r="D301" s="185"/>
      <c r="E301" s="394">
        <v>1120</v>
      </c>
      <c r="F301" s="394">
        <v>220</v>
      </c>
      <c r="G301" s="499">
        <f>900+H301</f>
        <v>1120</v>
      </c>
      <c r="H301" s="394">
        <v>220</v>
      </c>
      <c r="I301" s="202">
        <f t="shared" si="122"/>
        <v>1</v>
      </c>
      <c r="J301" s="202">
        <f t="shared" si="123"/>
        <v>1</v>
      </c>
      <c r="K301" s="182"/>
      <c r="L301" s="182"/>
      <c r="M301" s="182"/>
      <c r="N301" s="187"/>
    </row>
    <row r="302" spans="1:14" x14ac:dyDescent="0.3">
      <c r="A302" s="719"/>
      <c r="B302" s="147" t="s">
        <v>189</v>
      </c>
      <c r="C302" s="181" t="s">
        <v>20</v>
      </c>
      <c r="D302" s="185"/>
      <c r="E302" s="394">
        <v>503</v>
      </c>
      <c r="F302" s="394">
        <v>200</v>
      </c>
      <c r="G302" s="499">
        <f>303+H302</f>
        <v>503</v>
      </c>
      <c r="H302" s="394">
        <v>200</v>
      </c>
      <c r="I302" s="202">
        <f t="shared" si="122"/>
        <v>1</v>
      </c>
      <c r="J302" s="202">
        <f t="shared" si="123"/>
        <v>1</v>
      </c>
      <c r="K302" s="182"/>
      <c r="L302" s="182"/>
      <c r="M302" s="182"/>
      <c r="N302" s="183"/>
    </row>
    <row r="303" spans="1:14" x14ac:dyDescent="0.3">
      <c r="A303" s="719"/>
      <c r="B303" s="147" t="s">
        <v>190</v>
      </c>
      <c r="C303" s="181" t="s">
        <v>20</v>
      </c>
      <c r="D303" s="185"/>
      <c r="E303" s="394">
        <v>141.69999999999999</v>
      </c>
      <c r="F303" s="394">
        <v>0</v>
      </c>
      <c r="G303" s="499">
        <f>141.7+H303</f>
        <v>141.69999999999999</v>
      </c>
      <c r="H303" s="394">
        <v>0</v>
      </c>
      <c r="I303" s="202">
        <f t="shared" si="122"/>
        <v>1</v>
      </c>
      <c r="J303" s="202">
        <v>1</v>
      </c>
      <c r="K303" s="182"/>
      <c r="L303" s="182"/>
      <c r="M303" s="182"/>
      <c r="N303" s="183"/>
    </row>
    <row r="304" spans="1:14" x14ac:dyDescent="0.3">
      <c r="A304" s="719"/>
      <c r="B304" s="265" t="s">
        <v>24</v>
      </c>
      <c r="C304" s="216"/>
      <c r="D304" s="217"/>
      <c r="E304" s="246"/>
      <c r="F304" s="246"/>
      <c r="G304" s="246"/>
      <c r="H304" s="216"/>
      <c r="I304" s="251"/>
      <c r="J304" s="251"/>
      <c r="K304" s="458">
        <v>3</v>
      </c>
      <c r="L304" s="458">
        <v>3</v>
      </c>
      <c r="M304" s="458">
        <v>0</v>
      </c>
      <c r="N304" s="459"/>
    </row>
    <row r="305" spans="1:14" ht="26.4" x14ac:dyDescent="0.3">
      <c r="A305" s="719"/>
      <c r="B305" s="12" t="s">
        <v>191</v>
      </c>
      <c r="C305" s="151" t="s">
        <v>30</v>
      </c>
      <c r="D305" s="266">
        <v>3789</v>
      </c>
      <c r="E305" s="269">
        <v>4140.3</v>
      </c>
      <c r="F305" s="269">
        <v>4140.3</v>
      </c>
      <c r="G305" s="269">
        <v>5082</v>
      </c>
      <c r="H305" s="269">
        <v>5082</v>
      </c>
      <c r="I305" s="232">
        <f t="shared" ref="I305:J307" si="124">G305/E305</f>
        <v>1.2274472864285195</v>
      </c>
      <c r="J305" s="232">
        <f t="shared" si="124"/>
        <v>1.2274472864285195</v>
      </c>
      <c r="K305" s="182"/>
      <c r="L305" s="182"/>
      <c r="M305" s="182"/>
      <c r="N305" s="183"/>
    </row>
    <row r="306" spans="1:14" ht="26.4" x14ac:dyDescent="0.3">
      <c r="A306" s="719"/>
      <c r="B306" s="12" t="s">
        <v>192</v>
      </c>
      <c r="C306" s="151" t="s">
        <v>193</v>
      </c>
      <c r="D306" s="266">
        <v>2080</v>
      </c>
      <c r="E306" s="269">
        <v>3001</v>
      </c>
      <c r="F306" s="269">
        <v>3001</v>
      </c>
      <c r="G306" s="269">
        <v>3001</v>
      </c>
      <c r="H306" s="269">
        <v>3870.3</v>
      </c>
      <c r="I306" s="232">
        <f t="shared" si="124"/>
        <v>1</v>
      </c>
      <c r="J306" s="232">
        <f t="shared" si="124"/>
        <v>1.2896701099633456</v>
      </c>
      <c r="K306" s="182"/>
      <c r="L306" s="182"/>
      <c r="M306" s="182"/>
      <c r="N306" s="183"/>
    </row>
    <row r="307" spans="1:14" ht="40.200000000000003" thickBot="1" x14ac:dyDescent="0.35">
      <c r="A307" s="720"/>
      <c r="B307" s="30" t="s">
        <v>194</v>
      </c>
      <c r="C307" s="189" t="s">
        <v>193</v>
      </c>
      <c r="D307" s="267">
        <v>20782.7</v>
      </c>
      <c r="E307" s="270">
        <v>24336</v>
      </c>
      <c r="F307" s="270">
        <v>24336</v>
      </c>
      <c r="G307" s="270">
        <v>26822.5</v>
      </c>
      <c r="H307" s="270">
        <v>27417.599999999999</v>
      </c>
      <c r="I307" s="268">
        <f t="shared" si="124"/>
        <v>1.1021737343852729</v>
      </c>
      <c r="J307" s="268">
        <f t="shared" si="124"/>
        <v>1.1266272189349111</v>
      </c>
      <c r="K307" s="179"/>
      <c r="L307" s="179"/>
      <c r="M307" s="179"/>
      <c r="N307" s="176"/>
    </row>
    <row r="308" spans="1:14" ht="52.8" x14ac:dyDescent="0.3">
      <c r="A308" s="718">
        <v>24</v>
      </c>
      <c r="B308" s="25" t="s">
        <v>195</v>
      </c>
      <c r="C308" s="158"/>
      <c r="D308" s="2"/>
      <c r="E308" s="241"/>
      <c r="F308" s="241"/>
      <c r="G308" s="241"/>
      <c r="H308" s="2"/>
      <c r="I308" s="258"/>
      <c r="J308" s="258"/>
      <c r="K308" s="152"/>
      <c r="L308" s="152"/>
      <c r="M308" s="152"/>
      <c r="N308" s="153"/>
    </row>
    <row r="309" spans="1:14" x14ac:dyDescent="0.3">
      <c r="A309" s="719"/>
      <c r="B309" s="191" t="s">
        <v>19</v>
      </c>
      <c r="C309" s="192" t="s">
        <v>20</v>
      </c>
      <c r="D309" s="194"/>
      <c r="E309" s="398">
        <f>SUM(E310:E311)</f>
        <v>433030.1</v>
      </c>
      <c r="F309" s="398">
        <f t="shared" ref="F309:H309" si="125">SUM(F310:F311)</f>
        <v>63610.400000000001</v>
      </c>
      <c r="G309" s="398">
        <f t="shared" si="125"/>
        <v>97831.1</v>
      </c>
      <c r="H309" s="398">
        <f t="shared" si="125"/>
        <v>63329.3</v>
      </c>
      <c r="I309" s="201">
        <f>G309/E309</f>
        <v>0.22592217030640599</v>
      </c>
      <c r="J309" s="201">
        <f>H309/F309</f>
        <v>0.99558091129752369</v>
      </c>
      <c r="K309" s="195"/>
      <c r="L309" s="195"/>
      <c r="M309" s="195"/>
      <c r="N309" s="272"/>
    </row>
    <row r="310" spans="1:14" x14ac:dyDescent="0.3">
      <c r="A310" s="719"/>
      <c r="B310" s="11" t="s">
        <v>74</v>
      </c>
      <c r="C310" s="154" t="s">
        <v>20</v>
      </c>
      <c r="D310" s="157"/>
      <c r="E310" s="399">
        <v>336832</v>
      </c>
      <c r="F310" s="399">
        <v>52933</v>
      </c>
      <c r="G310" s="499">
        <f>2324+H310</f>
        <v>54975.9</v>
      </c>
      <c r="H310" s="399">
        <v>52651.9</v>
      </c>
      <c r="I310" s="202">
        <f t="shared" ref="I310:I311" si="126">G310/E310</f>
        <v>0.1632145995629869</v>
      </c>
      <c r="J310" s="202">
        <f t="shared" ref="J310:J311" si="127">H310/F310</f>
        <v>0.99468951315814336</v>
      </c>
      <c r="K310" s="155"/>
      <c r="L310" s="155"/>
      <c r="M310" s="155"/>
      <c r="N310" s="156"/>
    </row>
    <row r="311" spans="1:14" x14ac:dyDescent="0.3">
      <c r="A311" s="719"/>
      <c r="B311" s="11" t="s">
        <v>189</v>
      </c>
      <c r="C311" s="154" t="s">
        <v>20</v>
      </c>
      <c r="D311" s="157"/>
      <c r="E311" s="399">
        <v>96198.1</v>
      </c>
      <c r="F311" s="399">
        <v>10677.4</v>
      </c>
      <c r="G311" s="499">
        <f>32177.8+H311</f>
        <v>42855.199999999997</v>
      </c>
      <c r="H311" s="399">
        <v>10677.4</v>
      </c>
      <c r="I311" s="202">
        <f t="shared" si="126"/>
        <v>0.44548904812049295</v>
      </c>
      <c r="J311" s="202">
        <f t="shared" si="127"/>
        <v>1</v>
      </c>
      <c r="K311" s="155"/>
      <c r="L311" s="155"/>
      <c r="M311" s="155"/>
      <c r="N311" s="156"/>
    </row>
    <row r="312" spans="1:14" x14ac:dyDescent="0.3">
      <c r="A312" s="719"/>
      <c r="B312" s="84" t="s">
        <v>75</v>
      </c>
      <c r="C312" s="21"/>
      <c r="D312" s="22"/>
      <c r="E312" s="242"/>
      <c r="F312" s="242"/>
      <c r="G312" s="242"/>
      <c r="H312" s="22"/>
      <c r="I312" s="250"/>
      <c r="J312" s="250"/>
      <c r="K312" s="458">
        <v>3</v>
      </c>
      <c r="L312" s="458">
        <v>3</v>
      </c>
      <c r="M312" s="458">
        <v>0</v>
      </c>
      <c r="N312" s="459"/>
    </row>
    <row r="313" spans="1:14" ht="26.4" x14ac:dyDescent="0.3">
      <c r="A313" s="719"/>
      <c r="B313" s="14" t="s">
        <v>196</v>
      </c>
      <c r="C313" s="13" t="s">
        <v>154</v>
      </c>
      <c r="D313" s="8"/>
      <c r="E313" s="344">
        <v>108.29</v>
      </c>
      <c r="F313" s="344">
        <v>108.29</v>
      </c>
      <c r="G313" s="344">
        <v>108.29</v>
      </c>
      <c r="H313" s="344">
        <v>108.29</v>
      </c>
      <c r="I313" s="220">
        <f>G313/E313</f>
        <v>1</v>
      </c>
      <c r="J313" s="220">
        <f>H313/F313</f>
        <v>1</v>
      </c>
      <c r="K313" s="155"/>
      <c r="L313" s="155"/>
      <c r="M313" s="155"/>
      <c r="N313" s="156"/>
    </row>
    <row r="314" spans="1:14" ht="26.4" x14ac:dyDescent="0.3">
      <c r="A314" s="719"/>
      <c r="B314" s="14" t="s">
        <v>197</v>
      </c>
      <c r="C314" s="13" t="s">
        <v>154</v>
      </c>
      <c r="D314" s="8"/>
      <c r="E314" s="255">
        <v>16.47</v>
      </c>
      <c r="F314" s="255">
        <v>3.4</v>
      </c>
      <c r="G314" s="255">
        <v>4.056</v>
      </c>
      <c r="H314" s="225">
        <v>4.056</v>
      </c>
      <c r="I314" s="220">
        <f t="shared" ref="I314:I315" si="128">G314/E314</f>
        <v>0.24626593806921679</v>
      </c>
      <c r="J314" s="220">
        <f t="shared" ref="J314:J315" si="129">H314/F314</f>
        <v>1.1929411764705882</v>
      </c>
      <c r="K314" s="155"/>
      <c r="L314" s="155"/>
      <c r="M314" s="155"/>
      <c r="N314" s="156"/>
    </row>
    <row r="315" spans="1:14" ht="53.4" thickBot="1" x14ac:dyDescent="0.35">
      <c r="A315" s="720"/>
      <c r="B315" s="171" t="s">
        <v>198</v>
      </c>
      <c r="C315" s="173" t="s">
        <v>199</v>
      </c>
      <c r="D315" s="172"/>
      <c r="E315" s="345">
        <v>67.8</v>
      </c>
      <c r="F315" s="345">
        <v>36.9</v>
      </c>
      <c r="G315" s="345">
        <v>67.8</v>
      </c>
      <c r="H315" s="346">
        <v>36.9</v>
      </c>
      <c r="I315" s="347">
        <f t="shared" si="128"/>
        <v>1</v>
      </c>
      <c r="J315" s="347">
        <f t="shared" si="129"/>
        <v>1</v>
      </c>
      <c r="K315" s="174"/>
      <c r="L315" s="174"/>
      <c r="M315" s="174"/>
      <c r="N315" s="175"/>
    </row>
    <row r="316" spans="1:14" ht="34.200000000000003" x14ac:dyDescent="0.3">
      <c r="A316" s="718">
        <v>25</v>
      </c>
      <c r="B316" s="389" t="s">
        <v>200</v>
      </c>
      <c r="C316" s="186"/>
      <c r="D316" s="186"/>
      <c r="E316" s="241"/>
      <c r="F316" s="241"/>
      <c r="G316" s="241"/>
      <c r="H316" s="167"/>
      <c r="I316" s="258"/>
      <c r="J316" s="258"/>
      <c r="K316" s="178"/>
      <c r="L316" s="178"/>
      <c r="M316" s="178"/>
      <c r="N316" s="188"/>
    </row>
    <row r="317" spans="1:14" x14ac:dyDescent="0.3">
      <c r="A317" s="719"/>
      <c r="B317" s="191" t="s">
        <v>19</v>
      </c>
      <c r="C317" s="192" t="s">
        <v>20</v>
      </c>
      <c r="D317" s="271"/>
      <c r="E317" s="390">
        <f>SUM(E318:E319)</f>
        <v>8539.64</v>
      </c>
      <c r="F317" s="390">
        <f>SUM(F318:F319)</f>
        <v>4242.1000000000004</v>
      </c>
      <c r="G317" s="500">
        <f>SUM(G318:G319)</f>
        <v>5142.1000000000004</v>
      </c>
      <c r="H317" s="390">
        <f>SUM(H318:H319)</f>
        <v>4242.1000000000004</v>
      </c>
      <c r="I317" s="201">
        <f>G317/E317</f>
        <v>0.60214482109316092</v>
      </c>
      <c r="J317" s="201">
        <f>H317/F317</f>
        <v>1</v>
      </c>
      <c r="K317" s="195"/>
      <c r="L317" s="195"/>
      <c r="M317" s="195"/>
      <c r="N317" s="272"/>
    </row>
    <row r="318" spans="1:14" x14ac:dyDescent="0.3">
      <c r="A318" s="719"/>
      <c r="B318" s="11" t="s">
        <v>74</v>
      </c>
      <c r="C318" s="181" t="s">
        <v>20</v>
      </c>
      <c r="D318" s="13"/>
      <c r="E318" s="391">
        <v>3682</v>
      </c>
      <c r="F318" s="391">
        <v>872.5</v>
      </c>
      <c r="G318" s="501">
        <f>630+H318</f>
        <v>1502.5</v>
      </c>
      <c r="H318" s="391">
        <v>872.5</v>
      </c>
      <c r="I318" s="202">
        <f t="shared" ref="I318:I319" si="130">G318/E318</f>
        <v>0.40806626833242804</v>
      </c>
      <c r="J318" s="202">
        <f t="shared" ref="J318:J319" si="131">H318/F318</f>
        <v>1</v>
      </c>
      <c r="K318" s="182"/>
      <c r="L318" s="182"/>
      <c r="M318" s="182"/>
      <c r="N318" s="183"/>
    </row>
    <row r="319" spans="1:14" x14ac:dyDescent="0.3">
      <c r="A319" s="719"/>
      <c r="B319" s="11" t="s">
        <v>35</v>
      </c>
      <c r="C319" s="181" t="s">
        <v>20</v>
      </c>
      <c r="D319" s="13"/>
      <c r="E319" s="391">
        <v>4857.6400000000003</v>
      </c>
      <c r="F319" s="391">
        <v>3369.6</v>
      </c>
      <c r="G319" s="501">
        <f>270+H319</f>
        <v>3639.6</v>
      </c>
      <c r="H319" s="391">
        <v>3369.6</v>
      </c>
      <c r="I319" s="202">
        <f t="shared" si="130"/>
        <v>0.74925272354476657</v>
      </c>
      <c r="J319" s="202">
        <f t="shared" si="131"/>
        <v>1</v>
      </c>
      <c r="K319" s="182"/>
      <c r="L319" s="182"/>
      <c r="M319" s="182"/>
      <c r="N319" s="183"/>
    </row>
    <row r="320" spans="1:14" x14ac:dyDescent="0.3">
      <c r="A320" s="719"/>
      <c r="B320" s="233" t="s">
        <v>75</v>
      </c>
      <c r="C320" s="197"/>
      <c r="D320" s="197"/>
      <c r="E320" s="247"/>
      <c r="F320" s="247"/>
      <c r="G320" s="247"/>
      <c r="H320" s="273"/>
      <c r="I320" s="251"/>
      <c r="J320" s="251"/>
      <c r="K320" s="458">
        <v>2</v>
      </c>
      <c r="L320" s="458">
        <v>2</v>
      </c>
      <c r="M320" s="458">
        <v>0</v>
      </c>
      <c r="N320" s="459"/>
    </row>
    <row r="321" spans="1:14" ht="39.6" x14ac:dyDescent="0.3">
      <c r="A321" s="719"/>
      <c r="B321" s="12" t="s">
        <v>201</v>
      </c>
      <c r="C321" s="13" t="s">
        <v>26</v>
      </c>
      <c r="D321" s="219">
        <v>27</v>
      </c>
      <c r="E321" s="275">
        <v>70</v>
      </c>
      <c r="F321" s="275">
        <v>50</v>
      </c>
      <c r="G321" s="341">
        <v>32.35</v>
      </c>
      <c r="H321" s="341">
        <v>32.35</v>
      </c>
      <c r="I321" s="220">
        <f>G321/E321</f>
        <v>0.46214285714285719</v>
      </c>
      <c r="J321" s="220">
        <f>H321/F321</f>
        <v>0.64700000000000002</v>
      </c>
      <c r="K321" s="182"/>
      <c r="L321" s="182"/>
      <c r="M321" s="182"/>
      <c r="N321" s="183"/>
    </row>
    <row r="322" spans="1:14" ht="27" thickBot="1" x14ac:dyDescent="0.35">
      <c r="A322" s="720"/>
      <c r="B322" s="30" t="s">
        <v>202</v>
      </c>
      <c r="C322" s="184" t="s">
        <v>26</v>
      </c>
      <c r="D322" s="253">
        <v>16</v>
      </c>
      <c r="E322" s="342">
        <v>26</v>
      </c>
      <c r="F322" s="342">
        <v>22</v>
      </c>
      <c r="G322" s="343">
        <v>20</v>
      </c>
      <c r="H322" s="343">
        <v>20</v>
      </c>
      <c r="I322" s="347">
        <f>G322/E322</f>
        <v>0.76923076923076927</v>
      </c>
      <c r="J322" s="347">
        <f>H322/F322</f>
        <v>0.90909090909090906</v>
      </c>
      <c r="K322" s="179"/>
      <c r="L322" s="179"/>
      <c r="M322" s="179"/>
      <c r="N322" s="176"/>
    </row>
    <row r="323" spans="1:14" x14ac:dyDescent="0.3">
      <c r="A323" s="721" t="s">
        <v>203</v>
      </c>
      <c r="B323" s="160" t="s">
        <v>204</v>
      </c>
      <c r="C323" s="186"/>
      <c r="D323" s="186"/>
      <c r="E323" s="241"/>
      <c r="F323" s="241"/>
      <c r="G323" s="241"/>
      <c r="H323" s="168"/>
      <c r="I323" s="248"/>
      <c r="J323" s="248"/>
      <c r="K323" s="178"/>
      <c r="L323" s="178"/>
      <c r="M323" s="178"/>
      <c r="N323" s="188"/>
    </row>
    <row r="324" spans="1:14" x14ac:dyDescent="0.3">
      <c r="A324" s="722"/>
      <c r="B324" s="191" t="s">
        <v>19</v>
      </c>
      <c r="C324" s="192" t="s">
        <v>20</v>
      </c>
      <c r="D324" s="271"/>
      <c r="E324" s="398">
        <f>SUM(E325:E327)</f>
        <v>622140.30000000005</v>
      </c>
      <c r="F324" s="398">
        <f t="shared" ref="F324:H324" si="132">SUM(F325:F327)</f>
        <v>34963.399999999994</v>
      </c>
      <c r="G324" s="398">
        <f t="shared" si="132"/>
        <v>26963.599999999999</v>
      </c>
      <c r="H324" s="398">
        <f t="shared" si="132"/>
        <v>22070.9</v>
      </c>
      <c r="I324" s="201">
        <f>G324/E324</f>
        <v>4.3340063326551902E-2</v>
      </c>
      <c r="J324" s="201">
        <f>H324/F324</f>
        <v>0.63125725758936502</v>
      </c>
      <c r="K324" s="195"/>
      <c r="L324" s="195"/>
      <c r="M324" s="195"/>
      <c r="N324" s="272"/>
    </row>
    <row r="325" spans="1:14" x14ac:dyDescent="0.3">
      <c r="A325" s="722"/>
      <c r="B325" s="11" t="s">
        <v>21</v>
      </c>
      <c r="C325" s="181" t="s">
        <v>20</v>
      </c>
      <c r="D325" s="13"/>
      <c r="E325" s="399">
        <f>E354</f>
        <v>3747</v>
      </c>
      <c r="F325" s="399">
        <f t="shared" ref="F325:H325" si="133">F354</f>
        <v>2830</v>
      </c>
      <c r="G325" s="399">
        <f t="shared" si="133"/>
        <v>2646.7</v>
      </c>
      <c r="H325" s="399">
        <f t="shared" si="133"/>
        <v>2646.7</v>
      </c>
      <c r="I325" s="202">
        <f t="shared" ref="I325:I327" si="134">G325/E325</f>
        <v>0.70635174806511869</v>
      </c>
      <c r="J325" s="202">
        <f t="shared" ref="J325:J327" si="135">H325/F325</f>
        <v>0.93522968197879852</v>
      </c>
      <c r="K325" s="182"/>
      <c r="L325" s="182"/>
      <c r="M325" s="182"/>
      <c r="N325" s="183"/>
    </row>
    <row r="326" spans="1:14" x14ac:dyDescent="0.3">
      <c r="A326" s="722"/>
      <c r="B326" s="11" t="s">
        <v>74</v>
      </c>
      <c r="C326" s="181" t="s">
        <v>20</v>
      </c>
      <c r="D326" s="13"/>
      <c r="E326" s="399">
        <f>E335+E372+E380</f>
        <v>320591</v>
      </c>
      <c r="F326" s="399">
        <f>F335+F372+F380</f>
        <v>12358.8</v>
      </c>
      <c r="G326" s="399">
        <f>G335+G372+G380</f>
        <v>11181.1</v>
      </c>
      <c r="H326" s="399">
        <f>H335+H372+H380</f>
        <v>7611.1</v>
      </c>
      <c r="I326" s="202">
        <f t="shared" si="134"/>
        <v>3.4876524918041996E-2</v>
      </c>
      <c r="J326" s="202">
        <f t="shared" si="135"/>
        <v>0.61584458037997225</v>
      </c>
      <c r="K326" s="182"/>
      <c r="L326" s="182"/>
      <c r="M326" s="182"/>
      <c r="N326" s="183"/>
    </row>
    <row r="327" spans="1:14" ht="15" thickBot="1" x14ac:dyDescent="0.35">
      <c r="A327" s="723"/>
      <c r="B327" s="169" t="s">
        <v>35</v>
      </c>
      <c r="C327" s="161" t="s">
        <v>20</v>
      </c>
      <c r="D327" s="184"/>
      <c r="E327" s="508">
        <f>E329+E336+E355+E373+E379</f>
        <v>297802.3</v>
      </c>
      <c r="F327" s="508">
        <f>F329+F336+F355+F373+F379</f>
        <v>19774.599999999999</v>
      </c>
      <c r="G327" s="508">
        <f>G329+G336+G355+G373+G379</f>
        <v>13135.8</v>
      </c>
      <c r="H327" s="508">
        <f>H329+H336+H355+H373+H379</f>
        <v>11813.1</v>
      </c>
      <c r="I327" s="249">
        <f t="shared" si="134"/>
        <v>4.410912877435802E-2</v>
      </c>
      <c r="J327" s="249">
        <f t="shared" si="135"/>
        <v>0.59738755777613717</v>
      </c>
      <c r="K327" s="179"/>
      <c r="L327" s="179"/>
      <c r="M327" s="179"/>
      <c r="N327" s="176"/>
    </row>
    <row r="328" spans="1:14" ht="56.4" customHeight="1" x14ac:dyDescent="0.3">
      <c r="A328" s="724">
        <v>26</v>
      </c>
      <c r="B328" s="316" t="s">
        <v>260</v>
      </c>
      <c r="C328" s="317"/>
      <c r="D328" s="318"/>
      <c r="E328" s="319"/>
      <c r="F328" s="319"/>
      <c r="G328" s="319"/>
      <c r="H328" s="318"/>
      <c r="I328" s="258"/>
      <c r="J328" s="258"/>
      <c r="K328" s="72"/>
      <c r="L328" s="72"/>
      <c r="M328" s="72"/>
      <c r="N328" s="449"/>
    </row>
    <row r="329" spans="1:14" x14ac:dyDescent="0.3">
      <c r="A329" s="724"/>
      <c r="B329" s="11" t="s">
        <v>259</v>
      </c>
      <c r="C329" s="163" t="s">
        <v>20</v>
      </c>
      <c r="D329" s="165"/>
      <c r="E329" s="159">
        <v>882.2</v>
      </c>
      <c r="F329" s="159">
        <v>586</v>
      </c>
      <c r="G329" s="502">
        <f>241+H329</f>
        <v>788.7</v>
      </c>
      <c r="H329" s="185">
        <v>547.70000000000005</v>
      </c>
      <c r="I329" s="202">
        <f>G329/E329</f>
        <v>0.8940149625935162</v>
      </c>
      <c r="J329" s="202">
        <f>H329/F329</f>
        <v>0.93464163822525603</v>
      </c>
      <c r="K329" s="164"/>
      <c r="L329" s="164"/>
      <c r="M329" s="164"/>
      <c r="N329" s="166"/>
    </row>
    <row r="330" spans="1:14" x14ac:dyDescent="0.3">
      <c r="A330" s="724"/>
      <c r="B330" s="476" t="s">
        <v>75</v>
      </c>
      <c r="C330" s="26"/>
      <c r="D330" s="48"/>
      <c r="E330" s="243"/>
      <c r="F330" s="243"/>
      <c r="G330" s="243"/>
      <c r="H330" s="48"/>
      <c r="I330" s="250"/>
      <c r="J330" s="250"/>
      <c r="K330" s="530">
        <v>2</v>
      </c>
      <c r="L330" s="530">
        <v>2</v>
      </c>
      <c r="M330" s="530">
        <v>0</v>
      </c>
      <c r="N330" s="27"/>
    </row>
    <row r="331" spans="1:14" ht="17.25" customHeight="1" x14ac:dyDescent="0.3">
      <c r="A331" s="724"/>
      <c r="B331" s="170" t="s">
        <v>206</v>
      </c>
      <c r="C331" s="163"/>
      <c r="D331" s="165"/>
      <c r="E331" s="275">
        <v>3</v>
      </c>
      <c r="F331" s="275">
        <v>1</v>
      </c>
      <c r="G331" s="275">
        <v>3</v>
      </c>
      <c r="H331" s="275">
        <v>1</v>
      </c>
      <c r="I331" s="232">
        <f>G331/E331</f>
        <v>1</v>
      </c>
      <c r="J331" s="232">
        <f>H331/F331</f>
        <v>1</v>
      </c>
      <c r="K331" s="164"/>
      <c r="L331" s="164"/>
      <c r="M331" s="164"/>
      <c r="N331" s="166"/>
    </row>
    <row r="332" spans="1:14" ht="27" thickBot="1" x14ac:dyDescent="0.35">
      <c r="A332" s="725"/>
      <c r="B332" s="115" t="s">
        <v>205</v>
      </c>
      <c r="C332" s="161"/>
      <c r="D332" s="283"/>
      <c r="E332" s="379">
        <v>3</v>
      </c>
      <c r="F332" s="379">
        <v>1</v>
      </c>
      <c r="G332" s="379">
        <v>3</v>
      </c>
      <c r="H332" s="379">
        <v>1</v>
      </c>
      <c r="I332" s="232">
        <f>G332/E332</f>
        <v>1</v>
      </c>
      <c r="J332" s="232">
        <f>H332/F332</f>
        <v>1</v>
      </c>
      <c r="K332" s="174"/>
      <c r="L332" s="174"/>
      <c r="M332" s="174"/>
      <c r="N332" s="175"/>
    </row>
    <row r="333" spans="1:14" ht="56.4" customHeight="1" x14ac:dyDescent="0.3">
      <c r="A333" s="726">
        <v>27</v>
      </c>
      <c r="B333" s="160" t="s">
        <v>207</v>
      </c>
      <c r="C333" s="186"/>
      <c r="D333" s="186"/>
      <c r="E333" s="241"/>
      <c r="F333" s="241"/>
      <c r="G333" s="241"/>
      <c r="H333" s="168"/>
      <c r="I333" s="248"/>
      <c r="J333" s="248"/>
      <c r="K333" s="178"/>
      <c r="L333" s="178"/>
      <c r="M333" s="178"/>
      <c r="N333" s="180"/>
    </row>
    <row r="334" spans="1:14" x14ac:dyDescent="0.3">
      <c r="A334" s="724"/>
      <c r="B334" s="191" t="s">
        <v>19</v>
      </c>
      <c r="C334" s="192" t="s">
        <v>20</v>
      </c>
      <c r="D334" s="194"/>
      <c r="E334" s="264">
        <f>SUM(E336)</f>
        <v>1389.1</v>
      </c>
      <c r="F334" s="264">
        <f>SUM(F336)</f>
        <v>5.0999999999999996</v>
      </c>
      <c r="G334" s="264">
        <f>SUM(G336)</f>
        <v>1086.8</v>
      </c>
      <c r="H334" s="264">
        <f>SUM(H336)</f>
        <v>5.0999999999999996</v>
      </c>
      <c r="I334" s="201">
        <f>G334/E334</f>
        <v>0.78237707868404005</v>
      </c>
      <c r="J334" s="201">
        <f>H334/F334</f>
        <v>1</v>
      </c>
      <c r="K334" s="195"/>
      <c r="L334" s="195"/>
      <c r="M334" s="195"/>
      <c r="N334" s="272"/>
    </row>
    <row r="335" spans="1:14" x14ac:dyDescent="0.3">
      <c r="A335" s="724"/>
      <c r="B335" s="11" t="s">
        <v>74</v>
      </c>
      <c r="C335" s="181" t="s">
        <v>20</v>
      </c>
      <c r="D335" s="194"/>
      <c r="E335" s="159">
        <v>3570</v>
      </c>
      <c r="F335" s="159">
        <v>0</v>
      </c>
      <c r="G335" s="503">
        <f>3570+H335</f>
        <v>3570</v>
      </c>
      <c r="H335" s="159">
        <v>0</v>
      </c>
      <c r="I335" s="202">
        <f>G335/E335</f>
        <v>1</v>
      </c>
      <c r="J335" s="202">
        <f>0</f>
        <v>0</v>
      </c>
      <c r="K335" s="195"/>
      <c r="L335" s="195"/>
      <c r="M335" s="195"/>
      <c r="N335" s="272"/>
    </row>
    <row r="336" spans="1:14" x14ac:dyDescent="0.3">
      <c r="A336" s="724"/>
      <c r="B336" s="11" t="s">
        <v>35</v>
      </c>
      <c r="C336" s="181" t="s">
        <v>20</v>
      </c>
      <c r="D336" s="185"/>
      <c r="E336" s="159">
        <v>1389.1</v>
      </c>
      <c r="F336" s="159">
        <v>5.0999999999999996</v>
      </c>
      <c r="G336" s="485">
        <f>1081.7+H336</f>
        <v>1086.8</v>
      </c>
      <c r="H336" s="185">
        <v>5.0999999999999996</v>
      </c>
      <c r="I336" s="202">
        <f>G336/E336</f>
        <v>0.78237707868404005</v>
      </c>
      <c r="J336" s="202">
        <f>H336/F336</f>
        <v>1</v>
      </c>
      <c r="K336" s="182"/>
      <c r="L336" s="182"/>
      <c r="M336" s="182"/>
      <c r="N336" s="183"/>
    </row>
    <row r="337" spans="1:14" x14ac:dyDescent="0.3">
      <c r="A337" s="724"/>
      <c r="B337" s="233" t="s">
        <v>75</v>
      </c>
      <c r="C337" s="197"/>
      <c r="D337" s="197"/>
      <c r="E337" s="247"/>
      <c r="F337" s="247"/>
      <c r="G337" s="296"/>
      <c r="H337" s="297"/>
      <c r="I337" s="251"/>
      <c r="J337" s="251"/>
      <c r="K337" s="530">
        <v>14</v>
      </c>
      <c r="L337" s="530">
        <v>14</v>
      </c>
      <c r="M337" s="530">
        <v>0</v>
      </c>
      <c r="N337" s="531"/>
    </row>
    <row r="338" spans="1:14" ht="54.75" customHeight="1" x14ac:dyDescent="0.3">
      <c r="A338" s="724"/>
      <c r="B338" s="387" t="s">
        <v>232</v>
      </c>
      <c r="C338" s="349" t="s">
        <v>26</v>
      </c>
      <c r="D338" s="13"/>
      <c r="E338" s="480">
        <v>15</v>
      </c>
      <c r="F338" s="275">
        <v>15</v>
      </c>
      <c r="G338" s="481">
        <v>225.7</v>
      </c>
      <c r="H338" s="275">
        <v>225.7</v>
      </c>
      <c r="I338" s="232">
        <f>E338/G338</f>
        <v>6.6459902525476303E-2</v>
      </c>
      <c r="J338" s="232">
        <f>F338/H338</f>
        <v>6.6459902525476303E-2</v>
      </c>
      <c r="K338" s="182"/>
      <c r="L338" s="182"/>
      <c r="M338" s="182"/>
      <c r="N338" s="183"/>
    </row>
    <row r="339" spans="1:14" ht="40.5" customHeight="1" x14ac:dyDescent="0.3">
      <c r="A339" s="724"/>
      <c r="B339" s="387" t="s">
        <v>233</v>
      </c>
      <c r="C339" s="349" t="s">
        <v>26</v>
      </c>
      <c r="D339" s="13"/>
      <c r="E339" s="480">
        <v>100</v>
      </c>
      <c r="F339" s="275">
        <v>100</v>
      </c>
      <c r="G339" s="481">
        <v>100</v>
      </c>
      <c r="H339" s="275">
        <v>100</v>
      </c>
      <c r="I339" s="232">
        <f t="shared" ref="I339:I351" si="136">G339/E339</f>
        <v>1</v>
      </c>
      <c r="J339" s="232">
        <f t="shared" ref="J339:J351" si="137">H339/F339</f>
        <v>1</v>
      </c>
      <c r="K339" s="182"/>
      <c r="L339" s="182"/>
      <c r="M339" s="182"/>
      <c r="N339" s="183"/>
    </row>
    <row r="340" spans="1:14" ht="33.75" customHeight="1" x14ac:dyDescent="0.3">
      <c r="A340" s="724"/>
      <c r="B340" s="387" t="s">
        <v>234</v>
      </c>
      <c r="C340" s="383" t="s">
        <v>26</v>
      </c>
      <c r="D340" s="13"/>
      <c r="E340" s="480">
        <v>100</v>
      </c>
      <c r="F340" s="275">
        <v>100</v>
      </c>
      <c r="G340" s="481">
        <v>100</v>
      </c>
      <c r="H340" s="275">
        <v>100</v>
      </c>
      <c r="I340" s="232">
        <f t="shared" si="136"/>
        <v>1</v>
      </c>
      <c r="J340" s="232">
        <f t="shared" si="137"/>
        <v>1</v>
      </c>
      <c r="K340" s="182"/>
      <c r="L340" s="182"/>
      <c r="M340" s="182"/>
      <c r="N340" s="183"/>
    </row>
    <row r="341" spans="1:14" ht="40.950000000000003" customHeight="1" x14ac:dyDescent="0.3">
      <c r="A341" s="724"/>
      <c r="B341" s="387" t="s">
        <v>235</v>
      </c>
      <c r="C341" s="383" t="s">
        <v>26</v>
      </c>
      <c r="D341" s="13"/>
      <c r="E341" s="480">
        <v>35</v>
      </c>
      <c r="F341" s="275">
        <v>35</v>
      </c>
      <c r="G341" s="481">
        <v>100</v>
      </c>
      <c r="H341" s="275">
        <v>13.3</v>
      </c>
      <c r="I341" s="232">
        <f t="shared" si="136"/>
        <v>2.8571428571428572</v>
      </c>
      <c r="J341" s="232">
        <f t="shared" si="137"/>
        <v>0.38</v>
      </c>
      <c r="K341" s="182"/>
      <c r="L341" s="182"/>
      <c r="M341" s="182"/>
      <c r="N341" s="183"/>
    </row>
    <row r="342" spans="1:14" ht="44.25" customHeight="1" x14ac:dyDescent="0.3">
      <c r="A342" s="724"/>
      <c r="B342" s="387" t="s">
        <v>236</v>
      </c>
      <c r="C342" s="383" t="s">
        <v>26</v>
      </c>
      <c r="D342" s="13"/>
      <c r="E342" s="480">
        <v>80</v>
      </c>
      <c r="F342" s="275">
        <v>80</v>
      </c>
      <c r="G342" s="481">
        <v>100</v>
      </c>
      <c r="H342" s="275">
        <v>100</v>
      </c>
      <c r="I342" s="232">
        <f t="shared" si="136"/>
        <v>1.25</v>
      </c>
      <c r="J342" s="232">
        <f t="shared" si="137"/>
        <v>1.25</v>
      </c>
      <c r="K342" s="182"/>
      <c r="L342" s="182"/>
      <c r="M342" s="182"/>
      <c r="N342" s="183"/>
    </row>
    <row r="343" spans="1:14" ht="42" customHeight="1" x14ac:dyDescent="0.3">
      <c r="A343" s="724"/>
      <c r="B343" s="387" t="s">
        <v>237</v>
      </c>
      <c r="C343" s="383" t="s">
        <v>26</v>
      </c>
      <c r="D343" s="13"/>
      <c r="E343" s="480">
        <v>30</v>
      </c>
      <c r="F343" s="275">
        <v>30</v>
      </c>
      <c r="G343" s="481">
        <v>58.7</v>
      </c>
      <c r="H343" s="275">
        <v>77.7</v>
      </c>
      <c r="I343" s="232">
        <f t="shared" si="136"/>
        <v>1.9566666666666668</v>
      </c>
      <c r="J343" s="232">
        <f t="shared" si="137"/>
        <v>2.5900000000000003</v>
      </c>
      <c r="K343" s="182"/>
      <c r="L343" s="182"/>
      <c r="M343" s="182"/>
      <c r="N343" s="183"/>
    </row>
    <row r="344" spans="1:14" ht="41.25" customHeight="1" x14ac:dyDescent="0.3">
      <c r="A344" s="724"/>
      <c r="B344" s="387" t="s">
        <v>238</v>
      </c>
      <c r="C344" s="383" t="s">
        <v>26</v>
      </c>
      <c r="D344" s="13"/>
      <c r="E344" s="480">
        <v>90</v>
      </c>
      <c r="F344" s="275">
        <v>90</v>
      </c>
      <c r="G344" s="481">
        <v>100</v>
      </c>
      <c r="H344" s="275">
        <v>100</v>
      </c>
      <c r="I344" s="232">
        <f t="shared" si="136"/>
        <v>1.1111111111111112</v>
      </c>
      <c r="J344" s="232">
        <f t="shared" si="137"/>
        <v>1.1111111111111112</v>
      </c>
      <c r="K344" s="182"/>
      <c r="L344" s="182"/>
      <c r="M344" s="182"/>
      <c r="N344" s="183"/>
    </row>
    <row r="345" spans="1:14" ht="40.950000000000003" customHeight="1" x14ac:dyDescent="0.3">
      <c r="A345" s="724"/>
      <c r="B345" s="387" t="s">
        <v>239</v>
      </c>
      <c r="C345" s="383" t="s">
        <v>26</v>
      </c>
      <c r="D345" s="13"/>
      <c r="E345" s="480">
        <v>50</v>
      </c>
      <c r="F345" s="275">
        <v>50</v>
      </c>
      <c r="G345" s="481">
        <v>100</v>
      </c>
      <c r="H345" s="275">
        <v>100</v>
      </c>
      <c r="I345" s="232">
        <f t="shared" si="136"/>
        <v>2</v>
      </c>
      <c r="J345" s="232">
        <f t="shared" si="137"/>
        <v>2</v>
      </c>
      <c r="K345" s="182"/>
      <c r="L345" s="182"/>
      <c r="M345" s="182"/>
      <c r="N345" s="183"/>
    </row>
    <row r="346" spans="1:14" ht="40.950000000000003" customHeight="1" x14ac:dyDescent="0.3">
      <c r="A346" s="724"/>
      <c r="B346" s="387" t="s">
        <v>240</v>
      </c>
      <c r="C346" s="383"/>
      <c r="D346" s="13"/>
      <c r="E346" s="480">
        <v>12.7</v>
      </c>
      <c r="F346" s="275">
        <v>12.7</v>
      </c>
      <c r="G346" s="481">
        <v>8</v>
      </c>
      <c r="H346" s="275">
        <v>8</v>
      </c>
      <c r="I346" s="232">
        <f t="shared" si="136"/>
        <v>0.62992125984251968</v>
      </c>
      <c r="J346" s="232">
        <f t="shared" si="137"/>
        <v>0.62992125984251968</v>
      </c>
      <c r="K346" s="182"/>
      <c r="L346" s="182"/>
      <c r="M346" s="182"/>
      <c r="N346" s="183"/>
    </row>
    <row r="347" spans="1:14" ht="40.5" customHeight="1" x14ac:dyDescent="0.3">
      <c r="A347" s="724"/>
      <c r="B347" s="387" t="s">
        <v>241</v>
      </c>
      <c r="C347" s="383"/>
      <c r="D347" s="13"/>
      <c r="E347" s="480">
        <v>0</v>
      </c>
      <c r="F347" s="275">
        <v>0</v>
      </c>
      <c r="G347" s="481">
        <v>0</v>
      </c>
      <c r="H347" s="275">
        <v>0</v>
      </c>
      <c r="I347" s="232">
        <v>1</v>
      </c>
      <c r="J347" s="232">
        <v>1</v>
      </c>
      <c r="K347" s="182"/>
      <c r="L347" s="182"/>
      <c r="M347" s="182"/>
      <c r="N347" s="183"/>
    </row>
    <row r="348" spans="1:14" ht="41.25" customHeight="1" x14ac:dyDescent="0.3">
      <c r="A348" s="724"/>
      <c r="B348" s="387" t="s">
        <v>242</v>
      </c>
      <c r="C348" s="383"/>
      <c r="D348" s="13"/>
      <c r="E348" s="480">
        <v>0</v>
      </c>
      <c r="F348" s="275">
        <v>0</v>
      </c>
      <c r="G348" s="481">
        <v>0</v>
      </c>
      <c r="H348" s="275">
        <v>0</v>
      </c>
      <c r="I348" s="232">
        <v>1</v>
      </c>
      <c r="J348" s="232">
        <v>1</v>
      </c>
      <c r="K348" s="182"/>
      <c r="L348" s="182"/>
      <c r="M348" s="182"/>
      <c r="N348" s="183"/>
    </row>
    <row r="349" spans="1:14" ht="57" customHeight="1" x14ac:dyDescent="0.3">
      <c r="A349" s="724"/>
      <c r="B349" s="387" t="s">
        <v>243</v>
      </c>
      <c r="C349" s="383" t="s">
        <v>20</v>
      </c>
      <c r="D349" s="13"/>
      <c r="E349" s="527">
        <v>83597.3</v>
      </c>
      <c r="F349" s="528">
        <v>91836.3</v>
      </c>
      <c r="G349" s="529">
        <v>-12467</v>
      </c>
      <c r="H349" s="528">
        <v>4493.6000000000004</v>
      </c>
      <c r="I349" s="232" t="s">
        <v>268</v>
      </c>
      <c r="J349" s="232" t="s">
        <v>268</v>
      </c>
      <c r="K349" s="182"/>
      <c r="L349" s="182"/>
      <c r="M349" s="182"/>
      <c r="N349" s="183"/>
    </row>
    <row r="350" spans="1:14" ht="28.5" customHeight="1" x14ac:dyDescent="0.3">
      <c r="A350" s="724"/>
      <c r="B350" s="387" t="s">
        <v>244</v>
      </c>
      <c r="C350" s="383" t="s">
        <v>26</v>
      </c>
      <c r="D350" s="13"/>
      <c r="E350" s="480">
        <v>5</v>
      </c>
      <c r="F350" s="275">
        <v>2</v>
      </c>
      <c r="G350" s="481">
        <v>1</v>
      </c>
      <c r="H350" s="275">
        <v>2</v>
      </c>
      <c r="I350" s="232" t="s">
        <v>268</v>
      </c>
      <c r="J350" s="232" t="s">
        <v>268</v>
      </c>
      <c r="K350" s="182"/>
      <c r="L350" s="182"/>
      <c r="M350" s="182"/>
      <c r="N350" s="183"/>
    </row>
    <row r="351" spans="1:14" ht="47.4" customHeight="1" thickBot="1" x14ac:dyDescent="0.35">
      <c r="A351" s="725"/>
      <c r="B351" s="388" t="s">
        <v>245</v>
      </c>
      <c r="C351" s="452" t="s">
        <v>26</v>
      </c>
      <c r="D351" s="184"/>
      <c r="E351" s="482">
        <v>90</v>
      </c>
      <c r="F351" s="342">
        <v>90</v>
      </c>
      <c r="G351" s="482">
        <v>100</v>
      </c>
      <c r="H351" s="342">
        <v>100</v>
      </c>
      <c r="I351" s="232">
        <f t="shared" si="136"/>
        <v>1.1111111111111112</v>
      </c>
      <c r="J351" s="232">
        <f t="shared" si="137"/>
        <v>1.1111111111111112</v>
      </c>
      <c r="K351" s="179"/>
      <c r="L351" s="179"/>
      <c r="M351" s="179"/>
      <c r="N351" s="176"/>
    </row>
    <row r="352" spans="1:14" ht="41.25" customHeight="1" x14ac:dyDescent="0.3">
      <c r="A352" s="733">
        <v>28</v>
      </c>
      <c r="B352" s="338" t="s">
        <v>219</v>
      </c>
      <c r="C352" s="287"/>
      <c r="D352" s="287"/>
      <c r="E352" s="287"/>
      <c r="F352" s="287"/>
      <c r="G352" s="287"/>
      <c r="H352" s="287"/>
      <c r="I352" s="287"/>
      <c r="J352" s="287"/>
      <c r="K352" s="288"/>
      <c r="L352" s="288"/>
      <c r="M352" s="288"/>
      <c r="N352" s="289"/>
    </row>
    <row r="353" spans="1:14" x14ac:dyDescent="0.3">
      <c r="A353" s="734"/>
      <c r="B353" s="301" t="s">
        <v>220</v>
      </c>
      <c r="C353" s="302"/>
      <c r="D353" s="302"/>
      <c r="E353" s="504">
        <f>SUM(E354:E355)</f>
        <v>8077</v>
      </c>
      <c r="F353" s="504">
        <f>SUM(F354:F355)</f>
        <v>6013</v>
      </c>
      <c r="G353" s="504">
        <f>SUM(G354:G355)</f>
        <v>5715.7</v>
      </c>
      <c r="H353" s="504">
        <f>SUM(H354:H355)</f>
        <v>5715.7</v>
      </c>
      <c r="I353" s="396">
        <f>G353/E353</f>
        <v>0.70765135570137427</v>
      </c>
      <c r="J353" s="396">
        <f>H353/F353</f>
        <v>0.95055712622650923</v>
      </c>
      <c r="K353" s="303"/>
      <c r="L353" s="303"/>
      <c r="M353" s="303"/>
      <c r="N353" s="304"/>
    </row>
    <row r="354" spans="1:14" x14ac:dyDescent="0.3">
      <c r="A354" s="734"/>
      <c r="B354" s="295" t="s">
        <v>221</v>
      </c>
      <c r="C354" s="292"/>
      <c r="D354" s="292"/>
      <c r="E354" s="505">
        <v>3747</v>
      </c>
      <c r="F354" s="505">
        <v>2830</v>
      </c>
      <c r="G354" s="505">
        <v>2646.7</v>
      </c>
      <c r="H354" s="505">
        <v>2646.7</v>
      </c>
      <c r="I354" s="397">
        <f t="shared" ref="I354:I355" si="138">G354/E354</f>
        <v>0.70635174806511869</v>
      </c>
      <c r="J354" s="397">
        <f t="shared" ref="J354:J355" si="139">H354/F354</f>
        <v>0.93522968197879852</v>
      </c>
      <c r="K354" s="293"/>
      <c r="L354" s="293"/>
      <c r="M354" s="293"/>
      <c r="N354" s="294"/>
    </row>
    <row r="355" spans="1:14" x14ac:dyDescent="0.3">
      <c r="A355" s="734"/>
      <c r="B355" s="211" t="s">
        <v>60</v>
      </c>
      <c r="C355" s="292"/>
      <c r="D355" s="292"/>
      <c r="E355" s="505">
        <v>4330</v>
      </c>
      <c r="F355" s="505">
        <v>3183</v>
      </c>
      <c r="G355" s="505">
        <v>3069</v>
      </c>
      <c r="H355" s="505">
        <v>3069</v>
      </c>
      <c r="I355" s="397">
        <f t="shared" si="138"/>
        <v>0.70877598152424948</v>
      </c>
      <c r="J355" s="397">
        <f t="shared" si="139"/>
        <v>0.96418473138548544</v>
      </c>
      <c r="K355" s="293"/>
      <c r="L355" s="293"/>
      <c r="M355" s="293"/>
      <c r="N355" s="294"/>
    </row>
    <row r="356" spans="1:14" x14ac:dyDescent="0.3">
      <c r="A356" s="734"/>
      <c r="B356" s="298" t="s">
        <v>24</v>
      </c>
      <c r="C356" s="299"/>
      <c r="D356" s="299"/>
      <c r="E356" s="299"/>
      <c r="F356" s="299"/>
      <c r="G356" s="299"/>
      <c r="H356" s="299"/>
      <c r="I356" s="299"/>
      <c r="J356" s="299"/>
      <c r="K356" s="478">
        <v>13</v>
      </c>
      <c r="L356" s="478">
        <v>13</v>
      </c>
      <c r="M356" s="478">
        <v>0</v>
      </c>
      <c r="N356" s="479"/>
    </row>
    <row r="357" spans="1:14" ht="39.6" x14ac:dyDescent="0.3">
      <c r="A357" s="734"/>
      <c r="B357" s="707" t="s">
        <v>320</v>
      </c>
      <c r="C357" s="704"/>
      <c r="D357" s="704"/>
      <c r="E357" s="710" t="s">
        <v>332</v>
      </c>
      <c r="F357" s="710" t="s">
        <v>332</v>
      </c>
      <c r="G357" s="710" t="s">
        <v>332</v>
      </c>
      <c r="H357" s="710" t="s">
        <v>332</v>
      </c>
      <c r="I357" s="712">
        <v>1</v>
      </c>
      <c r="J357" s="712">
        <v>1</v>
      </c>
      <c r="K357" s="705"/>
      <c r="L357" s="705"/>
      <c r="M357" s="705"/>
      <c r="N357" s="706"/>
    </row>
    <row r="358" spans="1:14" ht="52.8" x14ac:dyDescent="0.3">
      <c r="A358" s="734"/>
      <c r="B358" s="708" t="s">
        <v>330</v>
      </c>
      <c r="C358" s="704"/>
      <c r="D358" s="704"/>
      <c r="E358" s="710">
        <v>60</v>
      </c>
      <c r="F358" s="710">
        <v>52.5</v>
      </c>
      <c r="G358" s="710">
        <v>77.2</v>
      </c>
      <c r="H358" s="710">
        <v>77.2</v>
      </c>
      <c r="I358" s="712">
        <f>G358/E358</f>
        <v>1.2866666666666666</v>
      </c>
      <c r="J358" s="712">
        <f>H358/F358</f>
        <v>1.4704761904761905</v>
      </c>
      <c r="K358" s="705"/>
      <c r="L358" s="705"/>
      <c r="M358" s="705"/>
      <c r="N358" s="706"/>
    </row>
    <row r="359" spans="1:14" ht="39.6" x14ac:dyDescent="0.3">
      <c r="A359" s="734"/>
      <c r="B359" s="707" t="s">
        <v>321</v>
      </c>
      <c r="C359" s="704"/>
      <c r="D359" s="704"/>
      <c r="E359" s="710" t="s">
        <v>332</v>
      </c>
      <c r="F359" s="710" t="s">
        <v>332</v>
      </c>
      <c r="G359" s="710" t="s">
        <v>332</v>
      </c>
      <c r="H359" s="710" t="s">
        <v>332</v>
      </c>
      <c r="I359" s="712">
        <v>1</v>
      </c>
      <c r="J359" s="712">
        <v>1</v>
      </c>
      <c r="K359" s="705"/>
      <c r="L359" s="705"/>
      <c r="M359" s="705"/>
      <c r="N359" s="706"/>
    </row>
    <row r="360" spans="1:14" ht="26.4" x14ac:dyDescent="0.3">
      <c r="A360" s="734"/>
      <c r="B360" s="707" t="s">
        <v>322</v>
      </c>
      <c r="C360" s="704"/>
      <c r="D360" s="704"/>
      <c r="E360" s="710" t="s">
        <v>332</v>
      </c>
      <c r="F360" s="710" t="s">
        <v>332</v>
      </c>
      <c r="G360" s="710" t="s">
        <v>332</v>
      </c>
      <c r="H360" s="710" t="s">
        <v>332</v>
      </c>
      <c r="I360" s="712">
        <v>1</v>
      </c>
      <c r="J360" s="712">
        <v>1</v>
      </c>
      <c r="K360" s="705"/>
      <c r="L360" s="705"/>
      <c r="M360" s="705"/>
      <c r="N360" s="706"/>
    </row>
    <row r="361" spans="1:14" ht="26.4" x14ac:dyDescent="0.3">
      <c r="A361" s="734"/>
      <c r="B361" s="707" t="s">
        <v>323</v>
      </c>
      <c r="C361" s="704"/>
      <c r="D361" s="704"/>
      <c r="E361" s="710">
        <v>0.85</v>
      </c>
      <c r="F361" s="710">
        <v>0.85</v>
      </c>
      <c r="G361" s="710">
        <v>1.05</v>
      </c>
      <c r="H361" s="710">
        <v>1.05</v>
      </c>
      <c r="I361" s="712">
        <f>G361/E361</f>
        <v>1.2352941176470589</v>
      </c>
      <c r="J361" s="712">
        <f>H361/F361</f>
        <v>1.2352941176470589</v>
      </c>
      <c r="K361" s="705"/>
      <c r="L361" s="705"/>
      <c r="M361" s="705"/>
      <c r="N361" s="706"/>
    </row>
    <row r="362" spans="1:14" ht="26.4" x14ac:dyDescent="0.3">
      <c r="A362" s="734"/>
      <c r="B362" s="707" t="s">
        <v>324</v>
      </c>
      <c r="C362" s="704"/>
      <c r="D362" s="704"/>
      <c r="E362" s="710" t="s">
        <v>332</v>
      </c>
      <c r="F362" s="710" t="s">
        <v>332</v>
      </c>
      <c r="G362" s="710" t="s">
        <v>332</v>
      </c>
      <c r="H362" s="710" t="s">
        <v>332</v>
      </c>
      <c r="I362" s="711">
        <v>1</v>
      </c>
      <c r="J362" s="711">
        <v>1</v>
      </c>
      <c r="K362" s="705"/>
      <c r="L362" s="705"/>
      <c r="M362" s="705"/>
      <c r="N362" s="706"/>
    </row>
    <row r="363" spans="1:14" ht="39.6" x14ac:dyDescent="0.3">
      <c r="A363" s="734"/>
      <c r="B363" s="707" t="s">
        <v>325</v>
      </c>
      <c r="C363" s="704"/>
      <c r="D363" s="704"/>
      <c r="E363" s="710" t="s">
        <v>332</v>
      </c>
      <c r="F363" s="710" t="s">
        <v>332</v>
      </c>
      <c r="G363" s="710" t="s">
        <v>332</v>
      </c>
      <c r="H363" s="710" t="s">
        <v>332</v>
      </c>
      <c r="I363" s="712">
        <v>1</v>
      </c>
      <c r="J363" s="712">
        <v>1</v>
      </c>
      <c r="K363" s="705"/>
      <c r="L363" s="705"/>
      <c r="M363" s="705"/>
      <c r="N363" s="706"/>
    </row>
    <row r="364" spans="1:14" ht="26.4" x14ac:dyDescent="0.3">
      <c r="A364" s="734"/>
      <c r="B364" s="709" t="s">
        <v>331</v>
      </c>
      <c r="C364" s="704"/>
      <c r="D364" s="704"/>
      <c r="E364" s="710" t="s">
        <v>332</v>
      </c>
      <c r="F364" s="710" t="s">
        <v>332</v>
      </c>
      <c r="G364" s="710" t="s">
        <v>332</v>
      </c>
      <c r="H364" s="710" t="s">
        <v>332</v>
      </c>
      <c r="I364" s="711">
        <v>1</v>
      </c>
      <c r="J364" s="711">
        <v>1</v>
      </c>
      <c r="K364" s="705"/>
      <c r="L364" s="705"/>
      <c r="M364" s="705"/>
      <c r="N364" s="706"/>
    </row>
    <row r="365" spans="1:14" ht="28.8" customHeight="1" x14ac:dyDescent="0.3">
      <c r="A365" s="734"/>
      <c r="B365" s="708" t="s">
        <v>326</v>
      </c>
      <c r="C365" s="704"/>
      <c r="D365" s="704"/>
      <c r="E365" s="710">
        <v>27</v>
      </c>
      <c r="F365" s="710">
        <v>27</v>
      </c>
      <c r="G365" s="710">
        <v>20</v>
      </c>
      <c r="H365" s="710">
        <v>20</v>
      </c>
      <c r="I365" s="712">
        <f t="shared" ref="I365:J369" si="140">G365/E365</f>
        <v>0.7407407407407407</v>
      </c>
      <c r="J365" s="712">
        <f t="shared" si="140"/>
        <v>0.7407407407407407</v>
      </c>
      <c r="K365" s="705"/>
      <c r="L365" s="705"/>
      <c r="M365" s="705"/>
      <c r="N365" s="706"/>
    </row>
    <row r="366" spans="1:14" ht="39.6" x14ac:dyDescent="0.3">
      <c r="A366" s="734"/>
      <c r="B366" s="709" t="s">
        <v>327</v>
      </c>
      <c r="C366" s="704"/>
      <c r="D366" s="704"/>
      <c r="E366" s="710">
        <v>36</v>
      </c>
      <c r="F366" s="710">
        <v>36</v>
      </c>
      <c r="G366" s="710">
        <v>37</v>
      </c>
      <c r="H366" s="710">
        <v>37</v>
      </c>
      <c r="I366" s="712">
        <f t="shared" si="140"/>
        <v>1.0277777777777777</v>
      </c>
      <c r="J366" s="712">
        <f t="shared" si="140"/>
        <v>1.0277777777777777</v>
      </c>
      <c r="K366" s="705"/>
      <c r="L366" s="705"/>
      <c r="M366" s="705"/>
      <c r="N366" s="706"/>
    </row>
    <row r="367" spans="1:14" ht="26.4" x14ac:dyDescent="0.3">
      <c r="A367" s="734"/>
      <c r="B367" s="709" t="s">
        <v>328</v>
      </c>
      <c r="C367" s="704"/>
      <c r="D367" s="704"/>
      <c r="E367" s="710">
        <v>33</v>
      </c>
      <c r="F367" s="710">
        <v>33</v>
      </c>
      <c r="G367" s="710">
        <v>31</v>
      </c>
      <c r="H367" s="710">
        <v>31</v>
      </c>
      <c r="I367" s="712">
        <f t="shared" si="140"/>
        <v>0.93939393939393945</v>
      </c>
      <c r="J367" s="712">
        <f t="shared" si="140"/>
        <v>0.93939393939393945</v>
      </c>
      <c r="K367" s="705"/>
      <c r="L367" s="705"/>
      <c r="M367" s="705"/>
      <c r="N367" s="706"/>
    </row>
    <row r="368" spans="1:14" ht="26.4" x14ac:dyDescent="0.3">
      <c r="A368" s="734"/>
      <c r="B368" s="709" t="s">
        <v>329</v>
      </c>
      <c r="C368" s="704"/>
      <c r="D368" s="704"/>
      <c r="E368" s="710">
        <v>23</v>
      </c>
      <c r="F368" s="710">
        <v>23</v>
      </c>
      <c r="G368" s="710">
        <v>24</v>
      </c>
      <c r="H368" s="710">
        <v>24</v>
      </c>
      <c r="I368" s="712">
        <f t="shared" si="140"/>
        <v>1.0434782608695652</v>
      </c>
      <c r="J368" s="712">
        <f t="shared" si="140"/>
        <v>1.0434782608695652</v>
      </c>
      <c r="K368" s="705"/>
      <c r="L368" s="705"/>
      <c r="M368" s="705"/>
      <c r="N368" s="706"/>
    </row>
    <row r="369" spans="1:14" ht="27" thickBot="1" x14ac:dyDescent="0.35">
      <c r="A369" s="734"/>
      <c r="B369" s="300" t="s">
        <v>333</v>
      </c>
      <c r="C369" s="237" t="s">
        <v>26</v>
      </c>
      <c r="D369" s="237"/>
      <c r="E369" s="237">
        <v>95</v>
      </c>
      <c r="F369" s="237">
        <v>95</v>
      </c>
      <c r="G369" s="237">
        <v>70.599999999999994</v>
      </c>
      <c r="H369" s="237">
        <v>93.5</v>
      </c>
      <c r="I369" s="477">
        <f t="shared" si="140"/>
        <v>0.74315789473684202</v>
      </c>
      <c r="J369" s="477">
        <f t="shared" si="140"/>
        <v>0.98421052631578942</v>
      </c>
      <c r="K369" s="238"/>
      <c r="L369" s="238"/>
      <c r="M369" s="238"/>
      <c r="N369" s="291"/>
    </row>
    <row r="370" spans="1:14" ht="58.2" customHeight="1" x14ac:dyDescent="0.3">
      <c r="A370" s="733">
        <v>29</v>
      </c>
      <c r="B370" s="338" t="s">
        <v>225</v>
      </c>
      <c r="C370" s="330"/>
      <c r="D370" s="287"/>
      <c r="E370" s="287"/>
      <c r="F370" s="287"/>
      <c r="G370" s="287"/>
      <c r="H370" s="287"/>
      <c r="I370" s="287"/>
      <c r="J370" s="287"/>
      <c r="K370" s="288"/>
      <c r="L370" s="288"/>
      <c r="M370" s="288"/>
      <c r="N370" s="289"/>
    </row>
    <row r="371" spans="1:14" x14ac:dyDescent="0.3">
      <c r="A371" s="734"/>
      <c r="B371" s="301" t="s">
        <v>220</v>
      </c>
      <c r="C371" s="290"/>
      <c r="D371" s="237"/>
      <c r="E371" s="504">
        <f>SUM(E372:E373)</f>
        <v>368235</v>
      </c>
      <c r="F371" s="504">
        <f>SUM(F372:F373)</f>
        <v>3213.8</v>
      </c>
      <c r="G371" s="504">
        <f>SUM(G372:G373)</f>
        <v>2639</v>
      </c>
      <c r="H371" s="504">
        <f>SUM(H372:H373)</f>
        <v>2639</v>
      </c>
      <c r="I371" s="396">
        <f>G371/E371</f>
        <v>7.1666191426670465E-3</v>
      </c>
      <c r="J371" s="396">
        <f>H371/F371</f>
        <v>0.82114630655299015</v>
      </c>
      <c r="K371" s="238"/>
      <c r="L371" s="238"/>
      <c r="M371" s="238"/>
      <c r="N371" s="291"/>
    </row>
    <row r="372" spans="1:14" x14ac:dyDescent="0.3">
      <c r="A372" s="734"/>
      <c r="B372" s="211" t="s">
        <v>246</v>
      </c>
      <c r="C372" s="290"/>
      <c r="D372" s="237"/>
      <c r="E372" s="505">
        <v>219484</v>
      </c>
      <c r="F372" s="505">
        <v>1358.8</v>
      </c>
      <c r="G372" s="505">
        <v>1319.5</v>
      </c>
      <c r="H372" s="505">
        <v>1319.5</v>
      </c>
      <c r="I372" s="397">
        <f t="shared" ref="I372:I373" si="141">G372/E372</f>
        <v>6.0118277414298992E-3</v>
      </c>
      <c r="J372" s="397">
        <f t="shared" ref="J372:J373" si="142">H372/F372</f>
        <v>0.97107742125404772</v>
      </c>
      <c r="K372" s="238"/>
      <c r="L372" s="238"/>
      <c r="M372" s="238"/>
      <c r="N372" s="291"/>
    </row>
    <row r="373" spans="1:14" x14ac:dyDescent="0.3">
      <c r="A373" s="734"/>
      <c r="B373" s="211" t="s">
        <v>254</v>
      </c>
      <c r="C373" s="290"/>
      <c r="D373" s="237"/>
      <c r="E373" s="505">
        <v>148751</v>
      </c>
      <c r="F373" s="505">
        <v>1855</v>
      </c>
      <c r="G373" s="505">
        <v>1319.5</v>
      </c>
      <c r="H373" s="505">
        <v>1319.5</v>
      </c>
      <c r="I373" s="397">
        <f t="shared" si="141"/>
        <v>8.8705286014883929E-3</v>
      </c>
      <c r="J373" s="397">
        <f t="shared" si="142"/>
        <v>0.71132075471698109</v>
      </c>
      <c r="K373" s="238"/>
      <c r="L373" s="238"/>
      <c r="M373" s="238"/>
      <c r="N373" s="291"/>
    </row>
    <row r="374" spans="1:14" x14ac:dyDescent="0.3">
      <c r="A374" s="734"/>
      <c r="B374" s="523" t="s">
        <v>75</v>
      </c>
      <c r="C374" s="332"/>
      <c r="D374" s="333"/>
      <c r="E374" s="525"/>
      <c r="F374" s="525"/>
      <c r="G374" s="525"/>
      <c r="H374" s="525"/>
      <c r="I374" s="333"/>
      <c r="J374" s="333"/>
      <c r="K374" s="484">
        <v>2</v>
      </c>
      <c r="L374" s="484">
        <v>2</v>
      </c>
      <c r="M374" s="484">
        <v>0</v>
      </c>
      <c r="N374" s="335"/>
    </row>
    <row r="375" spans="1:14" ht="26.4" x14ac:dyDescent="0.3">
      <c r="A375" s="734"/>
      <c r="B375" s="524" t="s">
        <v>266</v>
      </c>
      <c r="C375" s="667" t="s">
        <v>32</v>
      </c>
      <c r="D375" s="290"/>
      <c r="E375" s="470">
        <v>11</v>
      </c>
      <c r="F375" s="470">
        <v>2</v>
      </c>
      <c r="G375" s="470">
        <v>3</v>
      </c>
      <c r="H375" s="470">
        <v>3</v>
      </c>
      <c r="I375" s="526">
        <f>G375/E375</f>
        <v>0.27272727272727271</v>
      </c>
      <c r="J375" s="526">
        <f>H375/F375</f>
        <v>1.5</v>
      </c>
      <c r="K375" s="238"/>
      <c r="L375" s="238"/>
      <c r="M375" s="238"/>
      <c r="N375" s="291"/>
    </row>
    <row r="376" spans="1:14" ht="27" thickBot="1" x14ac:dyDescent="0.35">
      <c r="A376" s="734"/>
      <c r="B376" s="524" t="s">
        <v>267</v>
      </c>
      <c r="C376" s="667" t="s">
        <v>32</v>
      </c>
      <c r="D376" s="290"/>
      <c r="E376" s="470">
        <v>385.9</v>
      </c>
      <c r="F376" s="470">
        <v>115.9</v>
      </c>
      <c r="G376" s="470">
        <v>162.6</v>
      </c>
      <c r="H376" s="470">
        <v>162.6</v>
      </c>
      <c r="I376" s="526">
        <f>G376/E376</f>
        <v>0.42135268204197979</v>
      </c>
      <c r="J376" s="526">
        <f>H376/F376</f>
        <v>1.4029335634167384</v>
      </c>
      <c r="K376" s="238"/>
      <c r="L376" s="238"/>
      <c r="M376" s="238"/>
      <c r="N376" s="291"/>
    </row>
    <row r="377" spans="1:14" ht="57" customHeight="1" x14ac:dyDescent="0.3">
      <c r="A377" s="733">
        <v>30</v>
      </c>
      <c r="B377" s="338" t="s">
        <v>226</v>
      </c>
      <c r="C377" s="330"/>
      <c r="D377" s="330"/>
      <c r="E377" s="330"/>
      <c r="F377" s="330"/>
      <c r="G377" s="330"/>
      <c r="H377" s="330"/>
      <c r="I377" s="330"/>
      <c r="J377" s="330"/>
      <c r="K377" s="288"/>
      <c r="L377" s="288"/>
      <c r="M377" s="288"/>
      <c r="N377" s="289"/>
    </row>
    <row r="378" spans="1:14" ht="13.95" customHeight="1" x14ac:dyDescent="0.3">
      <c r="A378" s="734"/>
      <c r="B378" s="301" t="s">
        <v>220</v>
      </c>
      <c r="C378" s="290"/>
      <c r="D378" s="290"/>
      <c r="E378" s="506">
        <f>SUM(E379:E380)</f>
        <v>239987</v>
      </c>
      <c r="F378" s="506">
        <f>SUM(F379:F380)</f>
        <v>25145.5</v>
      </c>
      <c r="G378" s="506">
        <f>SUM(G379:G380)</f>
        <v>13163.400000000001</v>
      </c>
      <c r="H378" s="504">
        <f>SUM(H379:H380)</f>
        <v>13163.400000000001</v>
      </c>
      <c r="I378" s="396">
        <f>G378/E378</f>
        <v>5.4850471067182813E-2</v>
      </c>
      <c r="J378" s="396">
        <f>H378/F378</f>
        <v>0.52348929231870522</v>
      </c>
      <c r="K378" s="425"/>
      <c r="L378" s="426"/>
      <c r="M378" s="426"/>
      <c r="N378" s="427"/>
    </row>
    <row r="379" spans="1:14" x14ac:dyDescent="0.3">
      <c r="A379" s="734"/>
      <c r="B379" s="211" t="s">
        <v>35</v>
      </c>
      <c r="C379" s="238"/>
      <c r="D379" s="290"/>
      <c r="E379" s="507">
        <v>142450</v>
      </c>
      <c r="F379" s="507">
        <v>14145.5</v>
      </c>
      <c r="G379" s="507">
        <v>6871.8</v>
      </c>
      <c r="H379" s="505">
        <v>6871.8</v>
      </c>
      <c r="I379" s="397">
        <f t="shared" ref="I379:I380" si="143">G379/E379</f>
        <v>4.824008424008424E-2</v>
      </c>
      <c r="J379" s="397">
        <f t="shared" ref="J379:J380" si="144">H379/F379</f>
        <v>0.48579406878512604</v>
      </c>
      <c r="K379" s="424"/>
      <c r="L379" s="238"/>
      <c r="M379" s="238"/>
      <c r="N379" s="291"/>
    </row>
    <row r="380" spans="1:14" x14ac:dyDescent="0.3">
      <c r="A380" s="734"/>
      <c r="B380" s="211" t="s">
        <v>22</v>
      </c>
      <c r="C380" s="238"/>
      <c r="D380" s="290"/>
      <c r="E380" s="507">
        <v>97537</v>
      </c>
      <c r="F380" s="507">
        <v>11000</v>
      </c>
      <c r="G380" s="507">
        <v>6291.6</v>
      </c>
      <c r="H380" s="505">
        <v>6291.6</v>
      </c>
      <c r="I380" s="397">
        <f t="shared" si="143"/>
        <v>6.4504752042814528E-2</v>
      </c>
      <c r="J380" s="397">
        <f t="shared" si="144"/>
        <v>0.57196363636363645</v>
      </c>
      <c r="K380" s="424"/>
      <c r="L380" s="238"/>
      <c r="M380" s="238"/>
      <c r="N380" s="291"/>
    </row>
    <row r="381" spans="1:14" x14ac:dyDescent="0.3">
      <c r="A381" s="734"/>
      <c r="B381" s="331" t="s">
        <v>223</v>
      </c>
      <c r="C381" s="334"/>
      <c r="D381" s="334"/>
      <c r="E381" s="334"/>
      <c r="F381" s="334"/>
      <c r="G381" s="334"/>
      <c r="H381" s="334"/>
      <c r="I381" s="334"/>
      <c r="J381" s="334"/>
      <c r="K381" s="478">
        <v>3</v>
      </c>
      <c r="L381" s="478">
        <v>3</v>
      </c>
      <c r="M381" s="478">
        <v>0</v>
      </c>
      <c r="N381" s="479"/>
    </row>
    <row r="382" spans="1:14" ht="52.8" x14ac:dyDescent="0.3">
      <c r="A382" s="734"/>
      <c r="B382" s="300" t="s">
        <v>261</v>
      </c>
      <c r="C382" s="237" t="s">
        <v>262</v>
      </c>
      <c r="D382" s="238"/>
      <c r="E382" s="237">
        <v>11069.9</v>
      </c>
      <c r="F382" s="237">
        <v>737.9</v>
      </c>
      <c r="G382" s="237">
        <v>360.2</v>
      </c>
      <c r="H382" s="237">
        <v>360.2</v>
      </c>
      <c r="I382" s="477">
        <f>G382/E382</f>
        <v>3.2538685986323271E-2</v>
      </c>
      <c r="J382" s="477">
        <f>H382/F382</f>
        <v>0.48814202466458867</v>
      </c>
      <c r="K382" s="238"/>
      <c r="L382" s="238"/>
      <c r="M382" s="238"/>
      <c r="N382" s="291"/>
    </row>
    <row r="383" spans="1:14" ht="92.4" x14ac:dyDescent="0.3">
      <c r="A383" s="734"/>
      <c r="B383" s="300" t="s">
        <v>175</v>
      </c>
      <c r="C383" s="237" t="s">
        <v>262</v>
      </c>
      <c r="D383" s="238"/>
      <c r="E383" s="237">
        <v>11150.2</v>
      </c>
      <c r="F383" s="237">
        <v>737.9</v>
      </c>
      <c r="G383" s="237">
        <v>440.5</v>
      </c>
      <c r="H383" s="237">
        <v>440.5</v>
      </c>
      <c r="I383" s="477">
        <f>G383/E383</f>
        <v>3.9506017829276603E-2</v>
      </c>
      <c r="J383" s="477">
        <f>H383/F383</f>
        <v>0.59696435831413475</v>
      </c>
      <c r="K383" s="238"/>
      <c r="L383" s="238"/>
      <c r="M383" s="238"/>
      <c r="N383" s="291"/>
    </row>
    <row r="384" spans="1:14" ht="27" thickBot="1" x14ac:dyDescent="0.35">
      <c r="A384" s="735"/>
      <c r="B384" s="326" t="s">
        <v>176</v>
      </c>
      <c r="C384" s="237" t="s">
        <v>262</v>
      </c>
      <c r="D384" s="328"/>
      <c r="E384" s="327">
        <v>543</v>
      </c>
      <c r="F384" s="327">
        <v>53</v>
      </c>
      <c r="G384" s="327">
        <v>37</v>
      </c>
      <c r="H384" s="327">
        <v>37</v>
      </c>
      <c r="I384" s="477">
        <f t="shared" ref="I384:J384" si="145">G384/E384</f>
        <v>6.8139963167587483E-2</v>
      </c>
      <c r="J384" s="477">
        <f t="shared" si="145"/>
        <v>0.69811320754716977</v>
      </c>
      <c r="K384" s="328"/>
      <c r="L384" s="328"/>
      <c r="M384" s="328"/>
      <c r="N384" s="329"/>
    </row>
    <row r="385" spans="1:14" x14ac:dyDescent="0.3">
      <c r="A385" s="727"/>
      <c r="B385" s="351" t="s">
        <v>231</v>
      </c>
      <c r="C385" s="352"/>
      <c r="D385" s="353"/>
      <c r="E385" s="353"/>
      <c r="F385" s="353"/>
      <c r="G385" s="353"/>
      <c r="H385" s="353"/>
      <c r="I385" s="354"/>
      <c r="J385" s="354"/>
      <c r="K385" s="355"/>
      <c r="L385" s="356"/>
      <c r="M385" s="355"/>
      <c r="N385" s="357"/>
    </row>
    <row r="386" spans="1:14" x14ac:dyDescent="0.3">
      <c r="A386" s="728"/>
      <c r="B386" s="358" t="s">
        <v>19</v>
      </c>
      <c r="C386" s="359" t="s">
        <v>20</v>
      </c>
      <c r="D386" s="360"/>
      <c r="E386" s="361">
        <f>SUM(E387:E389)</f>
        <v>2863727.0389999999</v>
      </c>
      <c r="F386" s="361">
        <f>SUM(F387:F389)</f>
        <v>877721.66999999993</v>
      </c>
      <c r="G386" s="361">
        <f t="shared" ref="G386" si="146">SUM(G387:G389)</f>
        <v>1337537.31</v>
      </c>
      <c r="H386" s="361">
        <f>SUM(H387:H389)</f>
        <v>854590.11</v>
      </c>
      <c r="I386" s="362">
        <f>G386/E386</f>
        <v>0.46706173171695226</v>
      </c>
      <c r="J386" s="362">
        <f>H386/F386</f>
        <v>0.97364590531301343</v>
      </c>
      <c r="K386" s="363"/>
      <c r="L386" s="364"/>
      <c r="M386" s="363"/>
      <c r="N386" s="365"/>
    </row>
    <row r="387" spans="1:14" x14ac:dyDescent="0.3">
      <c r="A387" s="728"/>
      <c r="B387" s="366" t="s">
        <v>21</v>
      </c>
      <c r="C387" s="359" t="s">
        <v>20</v>
      </c>
      <c r="D387" s="360"/>
      <c r="E387" s="361">
        <f>E7+E31+E117+E187+E214+E283+E325</f>
        <v>176581.09000000003</v>
      </c>
      <c r="F387" s="361">
        <f>F7+F31+F117+F187+F214+F283+F325</f>
        <v>83798.8</v>
      </c>
      <c r="G387" s="361">
        <f>G7+G31+G117+G187+G214+G283+G325</f>
        <v>165675.80000000002</v>
      </c>
      <c r="H387" s="361">
        <f>H7+H31+H117+H187+H214+H283+H325</f>
        <v>81814.099999999991</v>
      </c>
      <c r="I387" s="362">
        <f>G387/E387</f>
        <v>0.93824202806767132</v>
      </c>
      <c r="J387" s="362">
        <f t="shared" ref="J387:J389" si="147">H387/F387</f>
        <v>0.97631588996501129</v>
      </c>
      <c r="K387" s="363"/>
      <c r="L387" s="364"/>
      <c r="M387" s="363"/>
      <c r="N387" s="365" t="e">
        <f>ROUND(H387/H$459*100,1)</f>
        <v>#DIV/0!</v>
      </c>
    </row>
    <row r="388" spans="1:14" x14ac:dyDescent="0.3">
      <c r="A388" s="728"/>
      <c r="B388" s="366" t="s">
        <v>74</v>
      </c>
      <c r="C388" s="359" t="s">
        <v>20</v>
      </c>
      <c r="D388" s="360"/>
      <c r="E388" s="361">
        <f t="shared" ref="E388:H389" si="148">E8+E32+E119+E188+E215+E284+E326</f>
        <v>1366291.872</v>
      </c>
      <c r="F388" s="361">
        <f t="shared" si="148"/>
        <v>450865.86999999994</v>
      </c>
      <c r="G388" s="361">
        <f t="shared" si="148"/>
        <v>514348.47</v>
      </c>
      <c r="H388" s="361">
        <f t="shared" si="148"/>
        <v>441983.87</v>
      </c>
      <c r="I388" s="362">
        <f t="shared" ref="I388:I389" si="149">G388/E388</f>
        <v>0.37645577825701942</v>
      </c>
      <c r="J388" s="362">
        <f t="shared" si="147"/>
        <v>0.98030012784068143</v>
      </c>
      <c r="K388" s="367"/>
      <c r="L388" s="368"/>
      <c r="M388" s="369"/>
      <c r="N388" s="365" t="e">
        <f>ROUND(H388/H$459*100,1)</f>
        <v>#DIV/0!</v>
      </c>
    </row>
    <row r="389" spans="1:14" x14ac:dyDescent="0.3">
      <c r="A389" s="728"/>
      <c r="B389" s="366" t="s">
        <v>35</v>
      </c>
      <c r="C389" s="359" t="s">
        <v>20</v>
      </c>
      <c r="D389" s="360"/>
      <c r="E389" s="361">
        <f t="shared" si="148"/>
        <v>1320854.077</v>
      </c>
      <c r="F389" s="361">
        <f t="shared" si="148"/>
        <v>343057</v>
      </c>
      <c r="G389" s="361">
        <f t="shared" si="148"/>
        <v>657513.04</v>
      </c>
      <c r="H389" s="361">
        <f t="shared" si="148"/>
        <v>330792.14</v>
      </c>
      <c r="I389" s="362">
        <f t="shared" si="149"/>
        <v>0.49779385281785371</v>
      </c>
      <c r="J389" s="362">
        <f t="shared" si="147"/>
        <v>0.96424833190985759</v>
      </c>
      <c r="K389" s="367"/>
      <c r="L389" s="368"/>
      <c r="M389" s="369"/>
      <c r="N389" s="365" t="e">
        <f>ROUND(H389/H$459*100,1)</f>
        <v>#DIV/0!</v>
      </c>
    </row>
    <row r="390" spans="1:14" ht="27" thickBot="1" x14ac:dyDescent="0.35">
      <c r="A390" s="729"/>
      <c r="B390" s="370" t="s">
        <v>208</v>
      </c>
      <c r="C390" s="371" t="s">
        <v>26</v>
      </c>
      <c r="D390" s="372"/>
      <c r="E390" s="372"/>
      <c r="F390" s="372"/>
      <c r="G390" s="373"/>
      <c r="H390" s="374"/>
      <c r="I390" s="375">
        <f>L390/(K390-M390)</f>
        <v>1</v>
      </c>
      <c r="J390" s="375"/>
      <c r="K390" s="377">
        <f>K16+K25+K40+K51+K60+K71+K107+K126+K144+K163+K170+K177+K197+K207+K223+K231+K240+K249+K258+K267+K277+K292+K304+K312+K320+K330+K337+K356+K374+K381</f>
        <v>169</v>
      </c>
      <c r="L390" s="377">
        <f>L16+L25+L40+L51+L60+L71+L107+L126+L144+L163+L170+L177+L197+L207+L223+L231+L240+L249+L258+L267+L277+L292+L304+L312+L320+L330+L337+L356+L374+L381</f>
        <v>166</v>
      </c>
      <c r="M390" s="377">
        <f>M16+M25+M40+M51+M60+M71+M107+M126+M144+M163+M170+M177+M197+M207+M223+M231+M240+M249+M258+M267+M277+M292+M304+M312+M320+M330+M337+M356+M374+M381</f>
        <v>3</v>
      </c>
      <c r="N390" s="376"/>
    </row>
  </sheetData>
  <mergeCells count="50">
    <mergeCell ref="A66:A102"/>
    <mergeCell ref="A1:J1"/>
    <mergeCell ref="A220:A226"/>
    <mergeCell ref="A122:A139"/>
    <mergeCell ref="A5:A10"/>
    <mergeCell ref="A11:A20"/>
    <mergeCell ref="A21:A28"/>
    <mergeCell ref="A29:A34"/>
    <mergeCell ref="A35:A46"/>
    <mergeCell ref="A47:A55"/>
    <mergeCell ref="A56:A65"/>
    <mergeCell ref="A103:A114"/>
    <mergeCell ref="A115:A121"/>
    <mergeCell ref="A140:A156"/>
    <mergeCell ref="A157:A167"/>
    <mergeCell ref="A168:A174"/>
    <mergeCell ref="N2:N3"/>
    <mergeCell ref="A2:A3"/>
    <mergeCell ref="B2:B3"/>
    <mergeCell ref="K2:K3"/>
    <mergeCell ref="L2:L3"/>
    <mergeCell ref="M2:M3"/>
    <mergeCell ref="C2:C3"/>
    <mergeCell ref="D2:D3"/>
    <mergeCell ref="E2:F2"/>
    <mergeCell ref="G2:H2"/>
    <mergeCell ref="I2:J2"/>
    <mergeCell ref="A175:A184"/>
    <mergeCell ref="A185:A191"/>
    <mergeCell ref="A192:A201"/>
    <mergeCell ref="A202:A211"/>
    <mergeCell ref="A212:A219"/>
    <mergeCell ref="A227:A235"/>
    <mergeCell ref="A236:A242"/>
    <mergeCell ref="A243:A251"/>
    <mergeCell ref="A252:A260"/>
    <mergeCell ref="A261:A271"/>
    <mergeCell ref="A272:A280"/>
    <mergeCell ref="A323:A327"/>
    <mergeCell ref="A328:A332"/>
    <mergeCell ref="A333:A351"/>
    <mergeCell ref="A385:A390"/>
    <mergeCell ref="A281:A287"/>
    <mergeCell ref="A288:A297"/>
    <mergeCell ref="A298:A307"/>
    <mergeCell ref="A308:A315"/>
    <mergeCell ref="A316:A322"/>
    <mergeCell ref="A352:A369"/>
    <mergeCell ref="A370:A376"/>
    <mergeCell ref="A377:A384"/>
  </mergeCells>
  <pageMargins left="0.7" right="0.7" top="0.75" bottom="0.75" header="0.3" footer="0.3"/>
  <pageSetup paperSize="9" scale="95" orientation="landscape" r:id="rId1"/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L417"/>
  <sheetViews>
    <sheetView workbookViewId="0">
      <pane xSplit="2" ySplit="3" topLeftCell="C410" activePane="bottomRight" state="frozen"/>
      <selection pane="topRight" activeCell="C1" sqref="C1"/>
      <selection pane="bottomLeft" activeCell="A4" sqref="A4"/>
      <selection pane="bottomRight" activeCell="L376" sqref="L376"/>
    </sheetView>
  </sheetViews>
  <sheetFormatPr defaultRowHeight="14.4" x14ac:dyDescent="0.3"/>
  <cols>
    <col min="2" max="2" width="27.33203125" customWidth="1"/>
    <col min="3" max="3" width="9.88671875" customWidth="1"/>
    <col min="4" max="4" width="10.6640625" customWidth="1"/>
    <col min="5" max="5" width="10.33203125" customWidth="1"/>
    <col min="10" max="10" width="10" bestFit="1" customWidth="1"/>
    <col min="12" max="12" width="11.109375" customWidth="1"/>
  </cols>
  <sheetData>
    <row r="1" spans="1:12" ht="14.4" customHeight="1" x14ac:dyDescent="0.3">
      <c r="A1" s="770" t="s">
        <v>1</v>
      </c>
      <c r="B1" s="772" t="s">
        <v>2</v>
      </c>
      <c r="C1" s="774" t="s">
        <v>3</v>
      </c>
      <c r="D1" s="772" t="s">
        <v>303</v>
      </c>
      <c r="E1" s="772" t="s">
        <v>302</v>
      </c>
      <c r="F1" s="772" t="s">
        <v>301</v>
      </c>
      <c r="G1" s="742" t="s">
        <v>8</v>
      </c>
      <c r="H1" s="744" t="s">
        <v>9</v>
      </c>
      <c r="I1" s="746" t="s">
        <v>10</v>
      </c>
      <c r="J1" s="772" t="s">
        <v>263</v>
      </c>
      <c r="K1" s="772" t="s">
        <v>264</v>
      </c>
      <c r="L1" s="736" t="s">
        <v>265</v>
      </c>
    </row>
    <row r="2" spans="1:12" ht="98.25" customHeight="1" thickBot="1" x14ac:dyDescent="0.35">
      <c r="A2" s="771"/>
      <c r="B2" s="773"/>
      <c r="C2" s="775"/>
      <c r="D2" s="773"/>
      <c r="E2" s="773"/>
      <c r="F2" s="773"/>
      <c r="G2" s="743"/>
      <c r="H2" s="745"/>
      <c r="I2" s="747"/>
      <c r="J2" s="773"/>
      <c r="K2" s="773"/>
      <c r="L2" s="737"/>
    </row>
    <row r="3" spans="1:12" ht="15" thickBot="1" x14ac:dyDescent="0.35">
      <c r="A3" s="4">
        <v>1</v>
      </c>
      <c r="B3" s="113">
        <v>2</v>
      </c>
      <c r="C3" s="113">
        <v>3</v>
      </c>
      <c r="D3" s="113">
        <v>6</v>
      </c>
      <c r="E3" s="113">
        <v>8</v>
      </c>
      <c r="F3" s="113">
        <v>10</v>
      </c>
      <c r="G3" s="113">
        <v>11</v>
      </c>
      <c r="H3" s="113">
        <v>12</v>
      </c>
      <c r="I3" s="113">
        <v>13</v>
      </c>
      <c r="J3" s="509"/>
      <c r="K3" s="509"/>
      <c r="L3" s="432">
        <v>14</v>
      </c>
    </row>
    <row r="4" spans="1:12" ht="45" customHeight="1" x14ac:dyDescent="0.3">
      <c r="A4" s="730" t="s">
        <v>33</v>
      </c>
      <c r="B4" s="68" t="s">
        <v>34</v>
      </c>
      <c r="C4" s="67"/>
      <c r="D4" s="2"/>
      <c r="E4" s="2"/>
      <c r="F4" s="77"/>
      <c r="G4" s="1"/>
      <c r="H4" s="1"/>
      <c r="I4" s="1"/>
      <c r="J4" s="510"/>
      <c r="K4" s="510"/>
      <c r="L4" s="308"/>
    </row>
    <row r="5" spans="1:12" x14ac:dyDescent="0.3">
      <c r="A5" s="731"/>
      <c r="B5" s="191" t="s">
        <v>19</v>
      </c>
      <c r="C5" s="192" t="s">
        <v>20</v>
      </c>
      <c r="D5" s="194">
        <f>SUM(D6:D8)</f>
        <v>47622.6</v>
      </c>
      <c r="E5" s="194">
        <f>SUM(E6:E8)</f>
        <v>45796.6</v>
      </c>
      <c r="F5" s="201">
        <f>E5/D5</f>
        <v>0.9616568603982143</v>
      </c>
      <c r="G5" s="222"/>
      <c r="H5" s="222"/>
      <c r="I5" s="222"/>
      <c r="J5" s="511"/>
      <c r="K5" s="511"/>
      <c r="L5" s="431"/>
    </row>
    <row r="6" spans="1:12" x14ac:dyDescent="0.3">
      <c r="A6" s="731"/>
      <c r="B6" s="11" t="s">
        <v>21</v>
      </c>
      <c r="C6" s="181" t="s">
        <v>20</v>
      </c>
      <c r="D6" s="185">
        <f t="shared" ref="D6:E6" si="0">D12</f>
        <v>19538.5</v>
      </c>
      <c r="E6" s="185">
        <f t="shared" si="0"/>
        <v>19538.5</v>
      </c>
      <c r="F6" s="202">
        <f>E6/D6</f>
        <v>1</v>
      </c>
      <c r="G6" s="139"/>
      <c r="H6" s="139"/>
      <c r="I6" s="139"/>
      <c r="J6" s="512"/>
      <c r="K6" s="512"/>
      <c r="L6" s="111"/>
    </row>
    <row r="7" spans="1:12" x14ac:dyDescent="0.3">
      <c r="A7" s="731"/>
      <c r="B7" s="11" t="s">
        <v>22</v>
      </c>
      <c r="C7" s="181" t="s">
        <v>20</v>
      </c>
      <c r="D7" s="185">
        <f>D13+D23</f>
        <v>12054.2</v>
      </c>
      <c r="E7" s="185">
        <f>E13+E23</f>
        <v>12054.2</v>
      </c>
      <c r="F7" s="202">
        <f>E7/D7</f>
        <v>1</v>
      </c>
      <c r="G7" s="139"/>
      <c r="H7" s="139"/>
      <c r="I7" s="139"/>
      <c r="J7" s="512"/>
      <c r="K7" s="512"/>
      <c r="L7" s="111"/>
    </row>
    <row r="8" spans="1:12" x14ac:dyDescent="0.3">
      <c r="A8" s="731"/>
      <c r="B8" s="11" t="s">
        <v>35</v>
      </c>
      <c r="C8" s="181" t="s">
        <v>20</v>
      </c>
      <c r="D8" s="185">
        <f>D14+D24</f>
        <v>16029.9</v>
      </c>
      <c r="E8" s="185">
        <f>E14+E24</f>
        <v>14203.9</v>
      </c>
      <c r="F8" s="202">
        <f>E8/D8</f>
        <v>0.88608787328679528</v>
      </c>
      <c r="G8" s="139"/>
      <c r="H8" s="139"/>
      <c r="I8" s="139"/>
      <c r="J8" s="512"/>
      <c r="K8" s="512"/>
      <c r="L8" s="111"/>
    </row>
    <row r="9" spans="1:12" ht="40.200000000000003" thickBot="1" x14ac:dyDescent="0.35">
      <c r="A9" s="732"/>
      <c r="B9" s="30" t="s">
        <v>36</v>
      </c>
      <c r="C9" s="184" t="s">
        <v>26</v>
      </c>
      <c r="D9" s="9"/>
      <c r="E9" s="86"/>
      <c r="F9" s="86"/>
      <c r="G9" s="42"/>
      <c r="H9" s="42"/>
      <c r="I9" s="42"/>
      <c r="J9" s="513"/>
      <c r="K9" s="513"/>
      <c r="L9" s="310"/>
    </row>
    <row r="10" spans="1:12" ht="79.2" x14ac:dyDescent="0.3">
      <c r="A10" s="757" t="s">
        <v>37</v>
      </c>
      <c r="B10" s="25" t="s">
        <v>18</v>
      </c>
      <c r="C10" s="433"/>
      <c r="D10" s="433"/>
      <c r="E10" s="433"/>
      <c r="F10" s="433"/>
      <c r="G10" s="178"/>
      <c r="H10" s="178"/>
      <c r="I10" s="178"/>
      <c r="J10" s="669" t="s">
        <v>305</v>
      </c>
      <c r="K10" s="178"/>
      <c r="L10" s="462" t="s">
        <v>304</v>
      </c>
    </row>
    <row r="11" spans="1:12" x14ac:dyDescent="0.3">
      <c r="A11" s="758"/>
      <c r="B11" s="191" t="s">
        <v>19</v>
      </c>
      <c r="C11" s="192" t="s">
        <v>20</v>
      </c>
      <c r="D11" s="194">
        <f t="shared" ref="D11:E11" si="1">SUM(D12:D14)</f>
        <v>47411.7</v>
      </c>
      <c r="E11" s="194">
        <f t="shared" si="1"/>
        <v>45585.7</v>
      </c>
      <c r="F11" s="201">
        <f>$E11/$D11</f>
        <v>0.96148629979519828</v>
      </c>
      <c r="G11" s="195"/>
      <c r="H11" s="195"/>
      <c r="I11" s="195"/>
      <c r="J11" s="195"/>
      <c r="K11" s="195"/>
      <c r="L11" s="272"/>
    </row>
    <row r="12" spans="1:12" x14ac:dyDescent="0.3">
      <c r="A12" s="758"/>
      <c r="B12" s="11" t="s">
        <v>21</v>
      </c>
      <c r="C12" s="181" t="s">
        <v>20</v>
      </c>
      <c r="D12" s="190">
        <v>19538.5</v>
      </c>
      <c r="E12" s="190">
        <v>19538.5</v>
      </c>
      <c r="F12" s="202">
        <f>$E12/$D12</f>
        <v>1</v>
      </c>
      <c r="G12" s="182"/>
      <c r="H12" s="182"/>
      <c r="I12" s="182"/>
      <c r="J12" s="182"/>
      <c r="K12" s="182"/>
      <c r="L12" s="183"/>
    </row>
    <row r="13" spans="1:12" x14ac:dyDescent="0.3">
      <c r="A13" s="758"/>
      <c r="B13" s="11" t="s">
        <v>22</v>
      </c>
      <c r="C13" s="181" t="s">
        <v>20</v>
      </c>
      <c r="D13" s="190">
        <v>11884.2</v>
      </c>
      <c r="E13" s="190">
        <v>11884.2</v>
      </c>
      <c r="F13" s="202">
        <f>$E13/$D13</f>
        <v>1</v>
      </c>
      <c r="G13" s="182"/>
      <c r="H13" s="182"/>
      <c r="I13" s="182"/>
      <c r="J13" s="182"/>
      <c r="K13" s="182"/>
      <c r="L13" s="187"/>
    </row>
    <row r="14" spans="1:12" x14ac:dyDescent="0.3">
      <c r="A14" s="758"/>
      <c r="B14" s="11" t="s">
        <v>23</v>
      </c>
      <c r="C14" s="181" t="s">
        <v>20</v>
      </c>
      <c r="D14" s="190">
        <v>15989</v>
      </c>
      <c r="E14" s="190">
        <v>14163</v>
      </c>
      <c r="F14" s="202">
        <f>$E14/$D14</f>
        <v>0.88579648508349496</v>
      </c>
      <c r="G14" s="182"/>
      <c r="H14" s="182"/>
      <c r="I14" s="182"/>
      <c r="J14" s="182"/>
      <c r="K14" s="182"/>
      <c r="L14" s="183"/>
    </row>
    <row r="15" spans="1:12" x14ac:dyDescent="0.3">
      <c r="A15" s="758"/>
      <c r="B15" s="196" t="s">
        <v>24</v>
      </c>
      <c r="C15" s="197"/>
      <c r="D15" s="198"/>
      <c r="E15" s="198"/>
      <c r="F15" s="199"/>
      <c r="G15" s="458">
        <v>4</v>
      </c>
      <c r="H15" s="458">
        <v>4</v>
      </c>
      <c r="I15" s="458">
        <v>0</v>
      </c>
      <c r="J15" s="458"/>
      <c r="K15" s="530">
        <f>SUM(K16:K19)</f>
        <v>2</v>
      </c>
      <c r="L15" s="459"/>
    </row>
    <row r="16" spans="1:12" ht="39.6" x14ac:dyDescent="0.3">
      <c r="A16" s="758"/>
      <c r="B16" s="14" t="s">
        <v>25</v>
      </c>
      <c r="C16" s="13" t="s">
        <v>26</v>
      </c>
      <c r="D16" s="225">
        <v>20</v>
      </c>
      <c r="E16" s="225">
        <v>21.9</v>
      </c>
      <c r="F16" s="227">
        <f>E16/D16</f>
        <v>1.095</v>
      </c>
      <c r="G16" s="182"/>
      <c r="H16" s="182"/>
      <c r="I16" s="182"/>
      <c r="J16" s="182"/>
      <c r="K16" s="487">
        <v>1</v>
      </c>
      <c r="L16" s="183"/>
    </row>
    <row r="17" spans="1:12" ht="39.6" x14ac:dyDescent="0.3">
      <c r="A17" s="758"/>
      <c r="B17" s="14" t="s">
        <v>27</v>
      </c>
      <c r="C17" s="13" t="s">
        <v>28</v>
      </c>
      <c r="D17" s="226">
        <v>1100</v>
      </c>
      <c r="E17" s="226">
        <v>1161</v>
      </c>
      <c r="F17" s="227">
        <f>E17/D17</f>
        <v>1.0554545454545454</v>
      </c>
      <c r="G17" s="182"/>
      <c r="H17" s="182"/>
      <c r="I17" s="182"/>
      <c r="J17" s="182"/>
      <c r="K17" s="487">
        <v>1</v>
      </c>
      <c r="L17" s="183"/>
    </row>
    <row r="18" spans="1:12" ht="26.4" x14ac:dyDescent="0.3">
      <c r="A18" s="758"/>
      <c r="B18" s="14" t="s">
        <v>29</v>
      </c>
      <c r="C18" s="13" t="s">
        <v>30</v>
      </c>
      <c r="D18" s="226">
        <v>90</v>
      </c>
      <c r="E18" s="226">
        <v>85</v>
      </c>
      <c r="F18" s="227">
        <f>E18/D18</f>
        <v>0.94444444444444442</v>
      </c>
      <c r="G18" s="182"/>
      <c r="H18" s="182"/>
      <c r="I18" s="182"/>
      <c r="J18" s="182"/>
      <c r="K18" s="487">
        <v>-1</v>
      </c>
      <c r="L18" s="183"/>
    </row>
    <row r="19" spans="1:12" ht="26.4" x14ac:dyDescent="0.3">
      <c r="A19" s="758"/>
      <c r="B19" s="14" t="s">
        <v>31</v>
      </c>
      <c r="C19" s="13" t="s">
        <v>32</v>
      </c>
      <c r="D19" s="226">
        <v>73</v>
      </c>
      <c r="E19" s="226">
        <v>74</v>
      </c>
      <c r="F19" s="227">
        <f>E19/D19</f>
        <v>1.0136986301369864</v>
      </c>
      <c r="G19" s="182"/>
      <c r="H19" s="182"/>
      <c r="I19" s="182"/>
      <c r="J19" s="182"/>
      <c r="K19" s="487">
        <v>1</v>
      </c>
      <c r="L19" s="183"/>
    </row>
    <row r="20" spans="1:12" ht="15" thickBot="1" x14ac:dyDescent="0.35">
      <c r="A20" s="759"/>
      <c r="B20" s="570" t="s">
        <v>300</v>
      </c>
      <c r="C20" s="571"/>
      <c r="D20" s="572"/>
      <c r="E20" s="572"/>
      <c r="F20" s="573"/>
      <c r="G20" s="574"/>
      <c r="H20" s="574"/>
      <c r="I20" s="574"/>
      <c r="J20" s="575">
        <f>(0.25*F16+0.25*F17+0.25*F18+0.25*F19)/F14</f>
        <v>1.1595771966877642</v>
      </c>
      <c r="K20" s="568"/>
      <c r="L20" s="176"/>
    </row>
    <row r="21" spans="1:12" ht="92.4" x14ac:dyDescent="0.3">
      <c r="A21" s="718" t="s">
        <v>44</v>
      </c>
      <c r="B21" s="25" t="s">
        <v>39</v>
      </c>
      <c r="C21" s="186"/>
      <c r="D21" s="2"/>
      <c r="E21" s="2"/>
      <c r="F21" s="77"/>
      <c r="G21" s="178"/>
      <c r="H21" s="178"/>
      <c r="I21" s="178"/>
      <c r="J21" s="669" t="s">
        <v>305</v>
      </c>
      <c r="K21" s="178"/>
      <c r="L21" s="462" t="s">
        <v>304</v>
      </c>
    </row>
    <row r="22" spans="1:12" x14ac:dyDescent="0.3">
      <c r="A22" s="719"/>
      <c r="B22" s="191" t="s">
        <v>19</v>
      </c>
      <c r="C22" s="192" t="s">
        <v>20</v>
      </c>
      <c r="D22" s="203">
        <f t="shared" ref="D22:E22" si="2">SUM(D23:D24)</f>
        <v>210.9</v>
      </c>
      <c r="E22" s="203">
        <f t="shared" si="2"/>
        <v>210.9</v>
      </c>
      <c r="F22" s="201">
        <f>E22/D22</f>
        <v>1</v>
      </c>
      <c r="G22" s="204"/>
      <c r="H22" s="204"/>
      <c r="I22" s="204"/>
      <c r="J22" s="204"/>
      <c r="K22" s="204"/>
      <c r="L22" s="205"/>
    </row>
    <row r="23" spans="1:12" x14ac:dyDescent="0.3">
      <c r="A23" s="719"/>
      <c r="B23" s="10" t="s">
        <v>40</v>
      </c>
      <c r="C23" s="181" t="s">
        <v>20</v>
      </c>
      <c r="D23" s="206">
        <v>170</v>
      </c>
      <c r="E23" s="206">
        <v>170</v>
      </c>
      <c r="F23" s="202">
        <f>E23/D23</f>
        <v>1</v>
      </c>
      <c r="G23" s="207"/>
      <c r="H23" s="207"/>
      <c r="I23" s="207"/>
      <c r="J23" s="207"/>
      <c r="K23" s="207"/>
      <c r="L23" s="208"/>
    </row>
    <row r="24" spans="1:12" x14ac:dyDescent="0.3">
      <c r="A24" s="719"/>
      <c r="B24" s="11" t="s">
        <v>23</v>
      </c>
      <c r="C24" s="181" t="s">
        <v>20</v>
      </c>
      <c r="D24" s="206">
        <v>40.9</v>
      </c>
      <c r="E24" s="206">
        <v>40.9</v>
      </c>
      <c r="F24" s="202">
        <f>E24/D24</f>
        <v>1</v>
      </c>
      <c r="G24" s="207"/>
      <c r="H24" s="207"/>
      <c r="I24" s="207"/>
      <c r="J24" s="207"/>
      <c r="K24" s="207"/>
      <c r="L24" s="208"/>
    </row>
    <row r="25" spans="1:12" x14ac:dyDescent="0.3">
      <c r="A25" s="719"/>
      <c r="B25" s="196" t="s">
        <v>24</v>
      </c>
      <c r="C25" s="216"/>
      <c r="D25" s="216"/>
      <c r="E25" s="216"/>
      <c r="F25" s="199"/>
      <c r="G25" s="458">
        <v>3</v>
      </c>
      <c r="H25" s="458">
        <v>3</v>
      </c>
      <c r="I25" s="458">
        <v>0</v>
      </c>
      <c r="J25" s="458"/>
      <c r="K25" s="458">
        <f>SUM(K26:K28)</f>
        <v>3</v>
      </c>
      <c r="L25" s="459"/>
    </row>
    <row r="26" spans="1:12" ht="39.6" x14ac:dyDescent="0.3">
      <c r="A26" s="719"/>
      <c r="B26" s="403" t="s">
        <v>41</v>
      </c>
      <c r="C26" s="82" t="s">
        <v>30</v>
      </c>
      <c r="D26" s="82">
        <v>48</v>
      </c>
      <c r="E26" s="82">
        <v>45</v>
      </c>
      <c r="F26" s="220">
        <f>D26/E26</f>
        <v>1.0666666666666667</v>
      </c>
      <c r="G26" s="209"/>
      <c r="H26" s="209"/>
      <c r="I26" s="209"/>
      <c r="J26" s="209"/>
      <c r="K26" s="487">
        <v>1</v>
      </c>
      <c r="L26" s="210"/>
    </row>
    <row r="27" spans="1:12" ht="68.25" customHeight="1" x14ac:dyDescent="0.3">
      <c r="A27" s="719"/>
      <c r="B27" s="403" t="s">
        <v>42</v>
      </c>
      <c r="C27" s="82" t="s">
        <v>26</v>
      </c>
      <c r="D27" s="219">
        <v>6.1</v>
      </c>
      <c r="E27" s="219">
        <v>6.4</v>
      </c>
      <c r="F27" s="220">
        <f>E27/D27</f>
        <v>1.0491803278688525</v>
      </c>
      <c r="G27" s="209"/>
      <c r="H27" s="209"/>
      <c r="I27" s="209"/>
      <c r="J27" s="209"/>
      <c r="K27" s="487">
        <v>1</v>
      </c>
      <c r="L27" s="210"/>
    </row>
    <row r="28" spans="1:12" ht="79.2" x14ac:dyDescent="0.3">
      <c r="A28" s="719"/>
      <c r="B28" s="403" t="s">
        <v>43</v>
      </c>
      <c r="C28" s="82" t="s">
        <v>26</v>
      </c>
      <c r="D28" s="219">
        <v>90</v>
      </c>
      <c r="E28" s="219">
        <v>100</v>
      </c>
      <c r="F28" s="220">
        <f>E28/D28</f>
        <v>1.1111111111111112</v>
      </c>
      <c r="G28" s="209"/>
      <c r="H28" s="209"/>
      <c r="I28" s="209"/>
      <c r="J28" s="209"/>
      <c r="K28" s="487">
        <v>1</v>
      </c>
      <c r="L28" s="210"/>
    </row>
    <row r="29" spans="1:12" ht="15" thickBot="1" x14ac:dyDescent="0.35">
      <c r="A29" s="720"/>
      <c r="B29" s="579" t="s">
        <v>300</v>
      </c>
      <c r="C29" s="571"/>
      <c r="D29" s="580"/>
      <c r="E29" s="580"/>
      <c r="F29" s="581"/>
      <c r="G29" s="582"/>
      <c r="H29" s="582"/>
      <c r="I29" s="582"/>
      <c r="J29" s="583">
        <f>(0.6*F26+0.4*F28)/F22</f>
        <v>1.0844444444444445</v>
      </c>
      <c r="K29" s="577"/>
      <c r="L29" s="578"/>
    </row>
    <row r="30" spans="1:12" ht="26.4" x14ac:dyDescent="0.3">
      <c r="A30" s="730" t="s">
        <v>45</v>
      </c>
      <c r="B30" s="28" t="s">
        <v>46</v>
      </c>
      <c r="C30" s="186"/>
      <c r="D30" s="29"/>
      <c r="E30" s="29"/>
      <c r="F30" s="77"/>
      <c r="G30" s="178"/>
      <c r="H30" s="178"/>
      <c r="I30" s="178"/>
      <c r="J30" s="514"/>
      <c r="K30" s="514"/>
      <c r="L30" s="188"/>
    </row>
    <row r="31" spans="1:12" x14ac:dyDescent="0.3">
      <c r="A31" s="731"/>
      <c r="B31" s="191" t="s">
        <v>19</v>
      </c>
      <c r="C31" s="192" t="s">
        <v>20</v>
      </c>
      <c r="D31" s="194">
        <f t="shared" ref="D31:E31" si="3">SUM(D32:D35)</f>
        <v>481146.1</v>
      </c>
      <c r="E31" s="194">
        <f t="shared" si="3"/>
        <v>477376.1</v>
      </c>
      <c r="F31" s="201">
        <f>E31/D31</f>
        <v>0.99216454212140559</v>
      </c>
      <c r="G31" s="195"/>
      <c r="H31" s="195"/>
      <c r="I31" s="195"/>
      <c r="J31" s="515"/>
      <c r="K31" s="515"/>
      <c r="L31" s="272"/>
    </row>
    <row r="32" spans="1:12" x14ac:dyDescent="0.3">
      <c r="A32" s="731"/>
      <c r="B32" s="11" t="s">
        <v>221</v>
      </c>
      <c r="C32" s="181" t="s">
        <v>20</v>
      </c>
      <c r="D32" s="185">
        <f>D38+D72</f>
        <v>3555.8999999999996</v>
      </c>
      <c r="E32" s="185">
        <f>E38+E72</f>
        <v>3519.3999999999996</v>
      </c>
      <c r="F32" s="202">
        <f>E32/D32</f>
        <v>0.98973536938609075</v>
      </c>
      <c r="G32" s="182"/>
      <c r="H32" s="182"/>
      <c r="I32" s="182"/>
      <c r="J32" s="516"/>
      <c r="K32" s="516"/>
      <c r="L32" s="183"/>
    </row>
    <row r="33" spans="1:12" x14ac:dyDescent="0.3">
      <c r="A33" s="731"/>
      <c r="B33" s="11" t="s">
        <v>246</v>
      </c>
      <c r="C33" s="181" t="s">
        <v>20</v>
      </c>
      <c r="D33" s="185">
        <f>D39+D51+D61+D73+D110</f>
        <v>217310</v>
      </c>
      <c r="E33" s="185">
        <f>E39+E51+E61+E73+E110</f>
        <v>215302.39999999999</v>
      </c>
      <c r="F33" s="202">
        <f>E33/D33</f>
        <v>0.99076158483272736</v>
      </c>
      <c r="G33" s="182"/>
      <c r="H33" s="182"/>
      <c r="I33" s="182"/>
      <c r="J33" s="516"/>
      <c r="K33" s="516"/>
      <c r="L33" s="183"/>
    </row>
    <row r="34" spans="1:12" x14ac:dyDescent="0.3">
      <c r="A34" s="731"/>
      <c r="B34" s="11" t="s">
        <v>35</v>
      </c>
      <c r="C34" s="181" t="s">
        <v>20</v>
      </c>
      <c r="D34" s="185">
        <f>D40+D52+D62+D74+D111</f>
        <v>260280.2</v>
      </c>
      <c r="E34" s="185">
        <f>E40+E52+E62+E74+E111</f>
        <v>258554.30000000002</v>
      </c>
      <c r="F34" s="202">
        <f>E34/D34</f>
        <v>0.99336906918006063</v>
      </c>
      <c r="G34" s="182"/>
      <c r="H34" s="182"/>
      <c r="I34" s="182"/>
      <c r="J34" s="516"/>
      <c r="K34" s="516"/>
      <c r="L34" s="183"/>
    </row>
    <row r="35" spans="1:12" ht="40.200000000000003" thickBot="1" x14ac:dyDescent="0.35">
      <c r="A35" s="732"/>
      <c r="B35" s="30" t="s">
        <v>208</v>
      </c>
      <c r="C35" s="184" t="s">
        <v>26</v>
      </c>
      <c r="D35" s="9"/>
      <c r="E35" s="86"/>
      <c r="F35" s="86"/>
      <c r="G35" s="42"/>
      <c r="H35" s="42"/>
      <c r="I35" s="42"/>
      <c r="J35" s="513"/>
      <c r="K35" s="513"/>
      <c r="L35" s="176"/>
    </row>
    <row r="36" spans="1:12" ht="92.4" x14ac:dyDescent="0.3">
      <c r="A36" s="718" t="s">
        <v>17</v>
      </c>
      <c r="B36" s="25" t="s">
        <v>48</v>
      </c>
      <c r="C36" s="186"/>
      <c r="D36" s="2"/>
      <c r="E36" s="2"/>
      <c r="F36" s="77"/>
      <c r="G36" s="178"/>
      <c r="H36" s="178"/>
      <c r="I36" s="178"/>
      <c r="J36" s="669" t="s">
        <v>306</v>
      </c>
      <c r="K36" s="178"/>
      <c r="L36" s="462" t="s">
        <v>304</v>
      </c>
    </row>
    <row r="37" spans="1:12" x14ac:dyDescent="0.3">
      <c r="A37" s="719"/>
      <c r="B37" s="213" t="s">
        <v>19</v>
      </c>
      <c r="C37" s="214" t="s">
        <v>20</v>
      </c>
      <c r="D37" s="203">
        <f t="shared" ref="D37:E37" si="4">SUM(D38:D40)</f>
        <v>7435.8</v>
      </c>
      <c r="E37" s="203">
        <f t="shared" si="4"/>
        <v>7345.2000000000007</v>
      </c>
      <c r="F37" s="201">
        <f>E37/D37</f>
        <v>0.98781570241265237</v>
      </c>
      <c r="G37" s="215"/>
      <c r="H37" s="215"/>
      <c r="I37" s="215"/>
      <c r="J37" s="215"/>
      <c r="K37" s="215"/>
      <c r="L37" s="430"/>
    </row>
    <row r="38" spans="1:12" x14ac:dyDescent="0.3">
      <c r="A38" s="719"/>
      <c r="B38" s="10" t="s">
        <v>21</v>
      </c>
      <c r="C38" s="181" t="s">
        <v>49</v>
      </c>
      <c r="D38" s="185">
        <v>1039.8</v>
      </c>
      <c r="E38" s="185">
        <v>1039.8</v>
      </c>
      <c r="F38" s="202">
        <f>E38/D38</f>
        <v>1</v>
      </c>
      <c r="G38" s="139"/>
      <c r="H38" s="139"/>
      <c r="I38" s="139"/>
      <c r="J38" s="139"/>
      <c r="K38" s="139"/>
      <c r="L38" s="111"/>
    </row>
    <row r="39" spans="1:12" x14ac:dyDescent="0.3">
      <c r="A39" s="719"/>
      <c r="B39" s="10" t="s">
        <v>22</v>
      </c>
      <c r="C39" s="181" t="s">
        <v>49</v>
      </c>
      <c r="D39" s="185">
        <v>5311</v>
      </c>
      <c r="E39" s="185">
        <v>5228.8</v>
      </c>
      <c r="F39" s="202">
        <f>E39/D39</f>
        <v>0.98452268875917914</v>
      </c>
      <c r="G39" s="139"/>
      <c r="H39" s="139"/>
      <c r="I39" s="139"/>
      <c r="J39" s="139"/>
      <c r="K39" s="139"/>
      <c r="L39" s="111"/>
    </row>
    <row r="40" spans="1:12" x14ac:dyDescent="0.3">
      <c r="A40" s="719"/>
      <c r="B40" s="11" t="s">
        <v>35</v>
      </c>
      <c r="C40" s="181" t="s">
        <v>20</v>
      </c>
      <c r="D40" s="185">
        <v>1085</v>
      </c>
      <c r="E40" s="185">
        <v>1076.5999999999999</v>
      </c>
      <c r="F40" s="202">
        <f>E40/D40</f>
        <v>0.99225806451612897</v>
      </c>
      <c r="G40" s="139"/>
      <c r="H40" s="139"/>
      <c r="I40" s="139"/>
      <c r="J40" s="139"/>
      <c r="K40" s="139"/>
      <c r="L40" s="111"/>
    </row>
    <row r="41" spans="1:12" x14ac:dyDescent="0.3">
      <c r="A41" s="719"/>
      <c r="B41" s="196" t="s">
        <v>24</v>
      </c>
      <c r="C41" s="216"/>
      <c r="D41" s="216"/>
      <c r="E41" s="216"/>
      <c r="F41" s="199"/>
      <c r="G41" s="460">
        <v>6</v>
      </c>
      <c r="H41" s="460">
        <v>6</v>
      </c>
      <c r="I41" s="460">
        <v>0</v>
      </c>
      <c r="J41" s="460"/>
      <c r="K41" s="460">
        <f>SUM(K42:K47)</f>
        <v>-1.5</v>
      </c>
      <c r="L41" s="461"/>
    </row>
    <row r="42" spans="1:12" ht="39.6" x14ac:dyDescent="0.3">
      <c r="A42" s="719"/>
      <c r="B42" s="44" t="s">
        <v>50</v>
      </c>
      <c r="C42" s="45" t="s">
        <v>26</v>
      </c>
      <c r="D42" s="219">
        <v>58.5</v>
      </c>
      <c r="E42" s="82">
        <v>63</v>
      </c>
      <c r="F42" s="220">
        <f t="shared" ref="F42:F47" si="5">E42/D42</f>
        <v>1.0769230769230769</v>
      </c>
      <c r="G42" s="139"/>
      <c r="H42" s="139"/>
      <c r="I42" s="139"/>
      <c r="J42" s="139"/>
      <c r="K42" s="275">
        <v>1</v>
      </c>
      <c r="L42" s="54"/>
    </row>
    <row r="43" spans="1:12" ht="66" x14ac:dyDescent="0.3">
      <c r="A43" s="719"/>
      <c r="B43" s="44" t="s">
        <v>51</v>
      </c>
      <c r="C43" s="45" t="s">
        <v>26</v>
      </c>
      <c r="D43" s="82">
        <v>71</v>
      </c>
      <c r="E43" s="82">
        <v>53</v>
      </c>
      <c r="F43" s="220">
        <f t="shared" si="5"/>
        <v>0.74647887323943662</v>
      </c>
      <c r="G43" s="139"/>
      <c r="H43" s="139"/>
      <c r="I43" s="139"/>
      <c r="J43" s="139"/>
      <c r="K43" s="275">
        <v>-1</v>
      </c>
      <c r="L43" s="111"/>
    </row>
    <row r="44" spans="1:12" ht="26.4" x14ac:dyDescent="0.3">
      <c r="A44" s="719"/>
      <c r="B44" s="44" t="s">
        <v>52</v>
      </c>
      <c r="C44" s="45" t="s">
        <v>26</v>
      </c>
      <c r="D44" s="219">
        <v>15</v>
      </c>
      <c r="E44" s="82">
        <v>7</v>
      </c>
      <c r="F44" s="220">
        <f t="shared" si="5"/>
        <v>0.46666666666666667</v>
      </c>
      <c r="G44" s="139"/>
      <c r="H44" s="139"/>
      <c r="I44" s="139"/>
      <c r="J44" s="139"/>
      <c r="K44" s="275">
        <v>-1</v>
      </c>
      <c r="L44" s="111"/>
    </row>
    <row r="45" spans="1:12" ht="39.6" x14ac:dyDescent="0.3">
      <c r="A45" s="719"/>
      <c r="B45" s="44" t="s">
        <v>53</v>
      </c>
      <c r="C45" s="45"/>
      <c r="D45" s="219">
        <v>83</v>
      </c>
      <c r="E45" s="219">
        <v>82.2</v>
      </c>
      <c r="F45" s="220">
        <f t="shared" si="5"/>
        <v>0.99036144578313257</v>
      </c>
      <c r="G45" s="139"/>
      <c r="H45" s="139"/>
      <c r="I45" s="139"/>
      <c r="J45" s="139"/>
      <c r="K45" s="275">
        <v>-0.5</v>
      </c>
      <c r="L45" s="111"/>
    </row>
    <row r="46" spans="1:12" ht="39.6" x14ac:dyDescent="0.3">
      <c r="A46" s="719"/>
      <c r="B46" s="44" t="s">
        <v>54</v>
      </c>
      <c r="C46" s="45" t="s">
        <v>30</v>
      </c>
      <c r="D46" s="82">
        <v>740</v>
      </c>
      <c r="E46" s="82">
        <v>455</v>
      </c>
      <c r="F46" s="220">
        <f t="shared" si="5"/>
        <v>0.61486486486486491</v>
      </c>
      <c r="G46" s="139"/>
      <c r="H46" s="139"/>
      <c r="I46" s="139"/>
      <c r="J46" s="139"/>
      <c r="K46" s="275">
        <v>-1</v>
      </c>
      <c r="L46" s="111"/>
    </row>
    <row r="47" spans="1:12" ht="66" x14ac:dyDescent="0.3">
      <c r="A47" s="719"/>
      <c r="B47" s="44" t="s">
        <v>55</v>
      </c>
      <c r="C47" s="45" t="s">
        <v>26</v>
      </c>
      <c r="D47" s="82">
        <v>45</v>
      </c>
      <c r="E47" s="82">
        <v>47</v>
      </c>
      <c r="F47" s="220">
        <f t="shared" si="5"/>
        <v>1.0444444444444445</v>
      </c>
      <c r="G47" s="584"/>
      <c r="H47" s="584"/>
      <c r="I47" s="584"/>
      <c r="J47" s="584"/>
      <c r="K47" s="275">
        <v>1</v>
      </c>
      <c r="L47" s="585"/>
    </row>
    <row r="48" spans="1:12" ht="15" thickBot="1" x14ac:dyDescent="0.35">
      <c r="A48" s="720"/>
      <c r="B48" s="588" t="s">
        <v>300</v>
      </c>
      <c r="C48" s="589"/>
      <c r="D48" s="590"/>
      <c r="E48" s="590"/>
      <c r="F48" s="581"/>
      <c r="G48" s="574"/>
      <c r="H48" s="574"/>
      <c r="I48" s="574"/>
      <c r="J48" s="583">
        <f>(0.2*F42+0.2*F43+0.1*F44+0.1*F45+0.2*F46+0.2*F47)/F38</f>
        <v>0.84224506313934455</v>
      </c>
      <c r="K48" s="586"/>
      <c r="L48" s="587"/>
    </row>
    <row r="49" spans="1:12" ht="105.6" x14ac:dyDescent="0.3">
      <c r="A49" s="718" t="s">
        <v>38</v>
      </c>
      <c r="B49" s="25" t="s">
        <v>57</v>
      </c>
      <c r="C49" s="186"/>
      <c r="D49" s="2"/>
      <c r="E49" s="2"/>
      <c r="F49" s="77"/>
      <c r="G49" s="178"/>
      <c r="H49" s="178"/>
      <c r="I49" s="178"/>
      <c r="J49" s="669" t="s">
        <v>312</v>
      </c>
      <c r="K49" s="178"/>
      <c r="L49" s="462" t="s">
        <v>304</v>
      </c>
    </row>
    <row r="50" spans="1:12" x14ac:dyDescent="0.3">
      <c r="A50" s="719"/>
      <c r="B50" s="223" t="s">
        <v>58</v>
      </c>
      <c r="C50" s="214" t="s">
        <v>20</v>
      </c>
      <c r="D50" s="203">
        <f t="shared" ref="D50:E50" si="6">SUM(D51:D52)</f>
        <v>58.4</v>
      </c>
      <c r="E50" s="203">
        <f t="shared" si="6"/>
        <v>56.2</v>
      </c>
      <c r="F50" s="201">
        <f>E50/D50</f>
        <v>0.96232876712328774</v>
      </c>
      <c r="G50" s="204"/>
      <c r="H50" s="204"/>
      <c r="I50" s="204"/>
      <c r="J50" s="204"/>
      <c r="K50" s="204"/>
      <c r="L50" s="205"/>
    </row>
    <row r="51" spans="1:12" x14ac:dyDescent="0.3">
      <c r="A51" s="719"/>
      <c r="B51" s="224" t="s">
        <v>59</v>
      </c>
      <c r="C51" s="212" t="s">
        <v>20</v>
      </c>
      <c r="D51" s="206">
        <v>0</v>
      </c>
      <c r="E51" s="206">
        <v>0</v>
      </c>
      <c r="F51" s="201">
        <v>0</v>
      </c>
      <c r="G51" s="207"/>
      <c r="H51" s="207"/>
      <c r="I51" s="207"/>
      <c r="J51" s="207"/>
      <c r="K51" s="207"/>
      <c r="L51" s="208"/>
    </row>
    <row r="52" spans="1:12" x14ac:dyDescent="0.3">
      <c r="A52" s="719"/>
      <c r="B52" s="211" t="s">
        <v>60</v>
      </c>
      <c r="C52" s="212" t="s">
        <v>20</v>
      </c>
      <c r="D52" s="206">
        <v>58.4</v>
      </c>
      <c r="E52" s="206">
        <v>56.2</v>
      </c>
      <c r="F52" s="201">
        <f>E52/D52</f>
        <v>0.96232876712328774</v>
      </c>
      <c r="G52" s="207"/>
      <c r="H52" s="207"/>
      <c r="I52" s="207"/>
      <c r="J52" s="207"/>
      <c r="K52" s="207"/>
      <c r="L52" s="208"/>
    </row>
    <row r="53" spans="1:12" x14ac:dyDescent="0.3">
      <c r="A53" s="719"/>
      <c r="B53" s="196" t="s">
        <v>24</v>
      </c>
      <c r="C53" s="216"/>
      <c r="D53" s="217"/>
      <c r="E53" s="217"/>
      <c r="F53" s="199"/>
      <c r="G53" s="458">
        <v>4</v>
      </c>
      <c r="H53" s="458">
        <v>4</v>
      </c>
      <c r="I53" s="458">
        <v>0</v>
      </c>
      <c r="J53" s="458"/>
      <c r="K53" s="595">
        <f>SUM(K54:K57)</f>
        <v>-3.5</v>
      </c>
      <c r="L53" s="459"/>
    </row>
    <row r="54" spans="1:12" ht="26.4" x14ac:dyDescent="0.3">
      <c r="A54" s="719"/>
      <c r="B54" s="12" t="s">
        <v>61</v>
      </c>
      <c r="C54" s="181"/>
      <c r="D54" s="219">
        <v>0.06</v>
      </c>
      <c r="E54" s="378">
        <v>0.01</v>
      </c>
      <c r="F54" s="220">
        <f>E54/D54</f>
        <v>0.16666666666666669</v>
      </c>
      <c r="G54" s="182"/>
      <c r="H54" s="182"/>
      <c r="I54" s="182"/>
      <c r="J54" s="182"/>
      <c r="K54" s="275">
        <v>-1</v>
      </c>
      <c r="L54" s="210"/>
    </row>
    <row r="55" spans="1:12" ht="26.4" x14ac:dyDescent="0.3">
      <c r="A55" s="719"/>
      <c r="B55" s="12" t="s">
        <v>62</v>
      </c>
      <c r="C55" s="13" t="s">
        <v>30</v>
      </c>
      <c r="D55" s="219">
        <v>5</v>
      </c>
      <c r="E55" s="378">
        <v>1</v>
      </c>
      <c r="F55" s="220">
        <f>E55/D55</f>
        <v>0.2</v>
      </c>
      <c r="G55" s="182"/>
      <c r="H55" s="182"/>
      <c r="I55" s="182"/>
      <c r="J55" s="182"/>
      <c r="K55" s="275">
        <v>-1</v>
      </c>
      <c r="L55" s="183"/>
    </row>
    <row r="56" spans="1:12" ht="30" customHeight="1" x14ac:dyDescent="0.3">
      <c r="A56" s="719"/>
      <c r="B56" s="12" t="s">
        <v>63</v>
      </c>
      <c r="C56" s="13" t="s">
        <v>64</v>
      </c>
      <c r="D56" s="219">
        <v>130</v>
      </c>
      <c r="E56" s="378">
        <v>129</v>
      </c>
      <c r="F56" s="220">
        <f>E56/D56</f>
        <v>0.99230769230769234</v>
      </c>
      <c r="G56" s="182"/>
      <c r="H56" s="182"/>
      <c r="I56" s="182"/>
      <c r="J56" s="182"/>
      <c r="K56" s="275">
        <v>-0.5</v>
      </c>
      <c r="L56" s="183"/>
    </row>
    <row r="57" spans="1:12" ht="39.6" x14ac:dyDescent="0.3">
      <c r="A57" s="719"/>
      <c r="B57" s="408" t="s">
        <v>65</v>
      </c>
      <c r="C57" s="13" t="s">
        <v>64</v>
      </c>
      <c r="D57" s="219">
        <v>0</v>
      </c>
      <c r="E57" s="219">
        <v>1</v>
      </c>
      <c r="F57" s="220">
        <v>0</v>
      </c>
      <c r="G57" s="584"/>
      <c r="H57" s="584"/>
      <c r="I57" s="584"/>
      <c r="J57" s="584"/>
      <c r="K57" s="275">
        <v>-1</v>
      </c>
      <c r="L57" s="585"/>
    </row>
    <row r="58" spans="1:12" ht="15" thickBot="1" x14ac:dyDescent="0.35">
      <c r="A58" s="720"/>
      <c r="B58" s="596" t="s">
        <v>300</v>
      </c>
      <c r="C58" s="571"/>
      <c r="D58" s="580"/>
      <c r="E58" s="580"/>
      <c r="F58" s="581"/>
      <c r="G58" s="574"/>
      <c r="H58" s="574"/>
      <c r="I58" s="574"/>
      <c r="J58" s="583">
        <f>(0.25*F54+0.25*F55+0.25*F56+0.25*F57)/F50</f>
        <v>0.35304316087234233</v>
      </c>
      <c r="K58" s="597"/>
      <c r="L58" s="598"/>
    </row>
    <row r="59" spans="1:12" ht="79.2" x14ac:dyDescent="0.3">
      <c r="A59" s="718" t="s">
        <v>72</v>
      </c>
      <c r="B59" s="305" t="s">
        <v>66</v>
      </c>
      <c r="C59" s="186"/>
      <c r="D59" s="2"/>
      <c r="E59" s="2"/>
      <c r="F59" s="77"/>
      <c r="G59" s="178"/>
      <c r="H59" s="178"/>
      <c r="I59" s="178"/>
      <c r="J59" s="669" t="s">
        <v>308</v>
      </c>
      <c r="K59" s="178"/>
      <c r="L59" s="462" t="s">
        <v>304</v>
      </c>
    </row>
    <row r="60" spans="1:12" x14ac:dyDescent="0.3">
      <c r="A60" s="719"/>
      <c r="B60" s="591" t="s">
        <v>58</v>
      </c>
      <c r="C60" s="214" t="s">
        <v>20</v>
      </c>
      <c r="D60" s="203">
        <f t="shared" ref="D60:E60" si="7">SUM(D61:D62)</f>
        <v>483.6</v>
      </c>
      <c r="E60" s="203">
        <f t="shared" si="7"/>
        <v>438.9</v>
      </c>
      <c r="F60" s="201">
        <f>E60/D60</f>
        <v>0.90756823821339938</v>
      </c>
      <c r="G60" s="195"/>
      <c r="H60" s="195"/>
      <c r="I60" s="195"/>
      <c r="J60" s="195"/>
      <c r="K60" s="195"/>
      <c r="L60" s="254"/>
    </row>
    <row r="61" spans="1:12" x14ac:dyDescent="0.3">
      <c r="A61" s="719"/>
      <c r="B61" s="592" t="s">
        <v>74</v>
      </c>
      <c r="C61" s="212" t="s">
        <v>20</v>
      </c>
      <c r="D61" s="206">
        <v>50</v>
      </c>
      <c r="E61" s="206">
        <v>50</v>
      </c>
      <c r="F61" s="201">
        <f>E61/D61</f>
        <v>1</v>
      </c>
      <c r="G61" s="182"/>
      <c r="H61" s="182"/>
      <c r="I61" s="182"/>
      <c r="J61" s="182"/>
      <c r="K61" s="182"/>
      <c r="L61" s="187"/>
    </row>
    <row r="62" spans="1:12" x14ac:dyDescent="0.3">
      <c r="A62" s="719"/>
      <c r="B62" s="10" t="s">
        <v>35</v>
      </c>
      <c r="C62" s="181" t="s">
        <v>20</v>
      </c>
      <c r="D62" s="206">
        <v>433.6</v>
      </c>
      <c r="E62" s="206">
        <v>388.9</v>
      </c>
      <c r="F62" s="201">
        <f>E62/D62</f>
        <v>0.89690959409594084</v>
      </c>
      <c r="G62" s="139"/>
      <c r="H62" s="139"/>
      <c r="I62" s="139"/>
      <c r="J62" s="139"/>
      <c r="K62" s="139"/>
      <c r="L62" s="111"/>
    </row>
    <row r="63" spans="1:12" x14ac:dyDescent="0.3">
      <c r="A63" s="719"/>
      <c r="B63" s="306" t="s">
        <v>24</v>
      </c>
      <c r="C63" s="26"/>
      <c r="D63" s="26"/>
      <c r="E63" s="26"/>
      <c r="F63" s="23"/>
      <c r="G63" s="460">
        <v>5</v>
      </c>
      <c r="H63" s="460">
        <v>5</v>
      </c>
      <c r="I63" s="460">
        <v>0</v>
      </c>
      <c r="J63" s="460"/>
      <c r="K63" s="460">
        <f>SUM(K64:K68)</f>
        <v>2.5</v>
      </c>
      <c r="L63" s="461"/>
    </row>
    <row r="64" spans="1:12" ht="28.95" customHeight="1" x14ac:dyDescent="0.3">
      <c r="A64" s="719"/>
      <c r="B64" s="274" t="s">
        <v>67</v>
      </c>
      <c r="C64" s="13" t="s">
        <v>64</v>
      </c>
      <c r="D64" s="349">
        <v>160</v>
      </c>
      <c r="E64" s="349">
        <v>160</v>
      </c>
      <c r="F64" s="134">
        <f>E64/D64</f>
        <v>1</v>
      </c>
      <c r="G64" s="139"/>
      <c r="H64" s="139"/>
      <c r="I64" s="139"/>
      <c r="J64" s="139"/>
      <c r="K64" s="275">
        <v>0.5</v>
      </c>
      <c r="L64" s="54"/>
    </row>
    <row r="65" spans="1:12" ht="40.200000000000003" customHeight="1" x14ac:dyDescent="0.3">
      <c r="A65" s="719"/>
      <c r="B65" s="55" t="s">
        <v>68</v>
      </c>
      <c r="C65" s="13" t="s">
        <v>30</v>
      </c>
      <c r="D65" s="384">
        <v>12000</v>
      </c>
      <c r="E65" s="384">
        <v>12000</v>
      </c>
      <c r="F65" s="134">
        <f t="shared" ref="F65:F68" si="8">E65/D65</f>
        <v>1</v>
      </c>
      <c r="G65" s="182"/>
      <c r="H65" s="182"/>
      <c r="I65" s="182"/>
      <c r="J65" s="182"/>
      <c r="K65" s="275">
        <v>0.5</v>
      </c>
      <c r="L65" s="187"/>
    </row>
    <row r="66" spans="1:12" ht="39.6" x14ac:dyDescent="0.3">
      <c r="A66" s="719"/>
      <c r="B66" s="55" t="s">
        <v>69</v>
      </c>
      <c r="C66" s="13" t="s">
        <v>64</v>
      </c>
      <c r="D66" s="349">
        <v>9</v>
      </c>
      <c r="E66" s="349">
        <v>9</v>
      </c>
      <c r="F66" s="134">
        <f t="shared" si="8"/>
        <v>1</v>
      </c>
      <c r="G66" s="182"/>
      <c r="H66" s="182"/>
      <c r="I66" s="182"/>
      <c r="J66" s="182"/>
      <c r="K66" s="275">
        <v>0.5</v>
      </c>
      <c r="L66" s="183"/>
    </row>
    <row r="67" spans="1:12" ht="39.6" x14ac:dyDescent="0.3">
      <c r="A67" s="719"/>
      <c r="B67" s="55" t="s">
        <v>70</v>
      </c>
      <c r="C67" s="13" t="s">
        <v>64</v>
      </c>
      <c r="D67" s="349">
        <v>15</v>
      </c>
      <c r="E67" s="349">
        <v>15</v>
      </c>
      <c r="F67" s="134">
        <f t="shared" si="8"/>
        <v>1</v>
      </c>
      <c r="G67" s="182"/>
      <c r="H67" s="182"/>
      <c r="I67" s="182"/>
      <c r="J67" s="182"/>
      <c r="K67" s="275">
        <v>0.5</v>
      </c>
      <c r="L67" s="183"/>
    </row>
    <row r="68" spans="1:12" ht="39.6" x14ac:dyDescent="0.3">
      <c r="A68" s="719"/>
      <c r="B68" s="55" t="s">
        <v>71</v>
      </c>
      <c r="C68" s="13" t="s">
        <v>64</v>
      </c>
      <c r="D68" s="349">
        <v>14</v>
      </c>
      <c r="E68" s="349">
        <v>14</v>
      </c>
      <c r="F68" s="134">
        <f t="shared" si="8"/>
        <v>1</v>
      </c>
      <c r="G68" s="182"/>
      <c r="H68" s="182"/>
      <c r="I68" s="182"/>
      <c r="J68" s="182"/>
      <c r="K68" s="275">
        <v>0.5</v>
      </c>
      <c r="L68" s="183"/>
    </row>
    <row r="69" spans="1:12" ht="15" thickBot="1" x14ac:dyDescent="0.35">
      <c r="A69" s="720"/>
      <c r="B69" s="593" t="s">
        <v>300</v>
      </c>
      <c r="C69" s="571"/>
      <c r="D69" s="693"/>
      <c r="E69" s="693"/>
      <c r="F69" s="594"/>
      <c r="G69" s="574"/>
      <c r="H69" s="574"/>
      <c r="I69" s="574"/>
      <c r="J69" s="583">
        <f>(0.2*F64+0.2*F65+0.2*F66+0.2*F67+0.2*F68)/F60</f>
        <v>1.1018455228981545</v>
      </c>
      <c r="K69" s="179"/>
      <c r="L69" s="176"/>
    </row>
    <row r="70" spans="1:12" ht="92.4" x14ac:dyDescent="0.3">
      <c r="A70" s="718" t="s">
        <v>47</v>
      </c>
      <c r="B70" s="56" t="s">
        <v>73</v>
      </c>
      <c r="C70" s="29"/>
      <c r="D70" s="29"/>
      <c r="E70" s="29"/>
      <c r="F70" s="77"/>
      <c r="G70" s="178"/>
      <c r="H70" s="178"/>
      <c r="I70" s="178"/>
      <c r="J70" s="669" t="s">
        <v>308</v>
      </c>
      <c r="K70" s="178"/>
      <c r="L70" s="462" t="s">
        <v>304</v>
      </c>
    </row>
    <row r="71" spans="1:12" x14ac:dyDescent="0.3">
      <c r="A71" s="719"/>
      <c r="B71" s="191" t="s">
        <v>19</v>
      </c>
      <c r="C71" s="192" t="s">
        <v>20</v>
      </c>
      <c r="D71" s="229">
        <f t="shared" ref="D71:E71" si="9">SUM(D72:D74)</f>
        <v>470820.30000000005</v>
      </c>
      <c r="E71" s="229">
        <f t="shared" si="9"/>
        <v>467307.9</v>
      </c>
      <c r="F71" s="231">
        <f>E71/D71</f>
        <v>0.99253982889013059</v>
      </c>
      <c r="G71" s="182"/>
      <c r="H71" s="182"/>
      <c r="I71" s="182"/>
      <c r="J71" s="182"/>
      <c r="K71" s="182"/>
      <c r="L71" s="183"/>
    </row>
    <row r="72" spans="1:12" x14ac:dyDescent="0.3">
      <c r="A72" s="719"/>
      <c r="B72" s="10" t="s">
        <v>21</v>
      </c>
      <c r="C72" s="181" t="s">
        <v>20</v>
      </c>
      <c r="D72" s="228">
        <v>2516.1</v>
      </c>
      <c r="E72" s="228">
        <v>2479.6</v>
      </c>
      <c r="F72" s="232">
        <f>E72/D72</f>
        <v>0.98549342236000159</v>
      </c>
      <c r="G72" s="182"/>
      <c r="H72" s="182"/>
      <c r="I72" s="182"/>
      <c r="J72" s="182"/>
      <c r="K72" s="182"/>
      <c r="L72" s="183"/>
    </row>
    <row r="73" spans="1:12" x14ac:dyDescent="0.3">
      <c r="A73" s="719"/>
      <c r="B73" s="10" t="s">
        <v>74</v>
      </c>
      <c r="C73" s="181" t="s">
        <v>20</v>
      </c>
      <c r="D73" s="228">
        <v>211499</v>
      </c>
      <c r="E73" s="228">
        <v>209573.6</v>
      </c>
      <c r="F73" s="232">
        <f>E73/D73</f>
        <v>0.99089641085773461</v>
      </c>
      <c r="G73" s="182"/>
      <c r="H73" s="182"/>
      <c r="I73" s="182"/>
      <c r="J73" s="182"/>
      <c r="K73" s="182"/>
      <c r="L73" s="183"/>
    </row>
    <row r="74" spans="1:12" x14ac:dyDescent="0.3">
      <c r="A74" s="719"/>
      <c r="B74" s="10" t="s">
        <v>35</v>
      </c>
      <c r="C74" s="181" t="s">
        <v>20</v>
      </c>
      <c r="D74" s="228">
        <v>256805.2</v>
      </c>
      <c r="E74" s="228">
        <v>255254.7</v>
      </c>
      <c r="F74" s="232">
        <f>E74/D74</f>
        <v>0.99396234967204711</v>
      </c>
      <c r="G74" s="182"/>
      <c r="H74" s="182"/>
      <c r="I74" s="182"/>
      <c r="J74" s="182"/>
      <c r="K74" s="182"/>
      <c r="L74" s="183"/>
    </row>
    <row r="75" spans="1:12" x14ac:dyDescent="0.3">
      <c r="A75" s="719"/>
      <c r="B75" s="265" t="s">
        <v>75</v>
      </c>
      <c r="C75" s="26"/>
      <c r="D75" s="26"/>
      <c r="E75" s="26"/>
      <c r="F75" s="23"/>
      <c r="G75" s="458">
        <v>31</v>
      </c>
      <c r="H75" s="458">
        <v>31</v>
      </c>
      <c r="I75" s="458">
        <v>0</v>
      </c>
      <c r="J75" s="458"/>
      <c r="K75" s="458">
        <f>SUM(K76:K106)</f>
        <v>7</v>
      </c>
      <c r="L75" s="459"/>
    </row>
    <row r="76" spans="1:12" ht="52.8" x14ac:dyDescent="0.3">
      <c r="A76" s="719"/>
      <c r="B76" s="60" t="s">
        <v>76</v>
      </c>
      <c r="C76" s="82" t="s">
        <v>32</v>
      </c>
      <c r="D76" s="82">
        <v>3</v>
      </c>
      <c r="E76" s="82">
        <v>3</v>
      </c>
      <c r="F76" s="220">
        <f t="shared" ref="F76:F106" si="10">E76/D76</f>
        <v>1</v>
      </c>
      <c r="G76" s="182"/>
      <c r="H76" s="182"/>
      <c r="I76" s="182"/>
      <c r="J76" s="182"/>
      <c r="K76" s="487">
        <v>0.5</v>
      </c>
      <c r="L76" s="183"/>
    </row>
    <row r="77" spans="1:12" ht="39.6" x14ac:dyDescent="0.3">
      <c r="A77" s="719"/>
      <c r="B77" s="60" t="s">
        <v>77</v>
      </c>
      <c r="C77" s="82" t="s">
        <v>32</v>
      </c>
      <c r="D77" s="82">
        <v>3</v>
      </c>
      <c r="E77" s="82">
        <v>2</v>
      </c>
      <c r="F77" s="220">
        <f t="shared" si="10"/>
        <v>0.66666666666666663</v>
      </c>
      <c r="G77" s="182"/>
      <c r="H77" s="182"/>
      <c r="I77" s="182"/>
      <c r="J77" s="182"/>
      <c r="K77" s="487">
        <v>-1</v>
      </c>
      <c r="L77" s="183"/>
    </row>
    <row r="78" spans="1:12" ht="39.6" x14ac:dyDescent="0.3">
      <c r="A78" s="719"/>
      <c r="B78" s="60" t="s">
        <v>78</v>
      </c>
      <c r="C78" s="82" t="s">
        <v>32</v>
      </c>
      <c r="D78" s="82">
        <v>1</v>
      </c>
      <c r="E78" s="82">
        <v>0</v>
      </c>
      <c r="F78" s="220">
        <f t="shared" si="10"/>
        <v>0</v>
      </c>
      <c r="G78" s="182"/>
      <c r="H78" s="182"/>
      <c r="I78" s="182"/>
      <c r="J78" s="182"/>
      <c r="K78" s="487">
        <v>-1</v>
      </c>
      <c r="L78" s="183"/>
    </row>
    <row r="79" spans="1:12" ht="39.6" x14ac:dyDescent="0.3">
      <c r="A79" s="719"/>
      <c r="B79" s="60" t="s">
        <v>79</v>
      </c>
      <c r="C79" s="82" t="s">
        <v>32</v>
      </c>
      <c r="D79" s="82">
        <v>1</v>
      </c>
      <c r="E79" s="82">
        <v>1</v>
      </c>
      <c r="F79" s="220">
        <f t="shared" si="10"/>
        <v>1</v>
      </c>
      <c r="G79" s="182"/>
      <c r="H79" s="182"/>
      <c r="I79" s="182"/>
      <c r="J79" s="182"/>
      <c r="K79" s="487">
        <v>0.5</v>
      </c>
      <c r="L79" s="183"/>
    </row>
    <row r="80" spans="1:12" ht="39.6" x14ac:dyDescent="0.3">
      <c r="A80" s="719"/>
      <c r="B80" s="60" t="s">
        <v>80</v>
      </c>
      <c r="C80" s="82" t="s">
        <v>32</v>
      </c>
      <c r="D80" s="82">
        <v>1</v>
      </c>
      <c r="E80" s="82">
        <v>3</v>
      </c>
      <c r="F80" s="220">
        <f t="shared" si="10"/>
        <v>3</v>
      </c>
      <c r="G80" s="182"/>
      <c r="H80" s="182"/>
      <c r="I80" s="182"/>
      <c r="J80" s="182"/>
      <c r="K80" s="487">
        <v>1</v>
      </c>
      <c r="L80" s="183"/>
    </row>
    <row r="81" spans="1:12" ht="52.8" x14ac:dyDescent="0.3">
      <c r="A81" s="719"/>
      <c r="B81" s="60" t="s">
        <v>81</v>
      </c>
      <c r="C81" s="82" t="s">
        <v>32</v>
      </c>
      <c r="D81" s="82">
        <v>6</v>
      </c>
      <c r="E81" s="82">
        <v>1</v>
      </c>
      <c r="F81" s="220">
        <f t="shared" si="10"/>
        <v>0.16666666666666666</v>
      </c>
      <c r="G81" s="182"/>
      <c r="H81" s="182"/>
      <c r="I81" s="182"/>
      <c r="J81" s="182"/>
      <c r="K81" s="487">
        <v>-1</v>
      </c>
      <c r="L81" s="183"/>
    </row>
    <row r="82" spans="1:12" ht="52.8" x14ac:dyDescent="0.3">
      <c r="A82" s="719"/>
      <c r="B82" s="60" t="s">
        <v>82</v>
      </c>
      <c r="C82" s="82" t="s">
        <v>32</v>
      </c>
      <c r="D82" s="82">
        <v>4</v>
      </c>
      <c r="E82" s="82">
        <v>4</v>
      </c>
      <c r="F82" s="220">
        <f t="shared" si="10"/>
        <v>1</v>
      </c>
      <c r="G82" s="182"/>
      <c r="H82" s="182"/>
      <c r="I82" s="182"/>
      <c r="J82" s="182"/>
      <c r="K82" s="487">
        <v>0.5</v>
      </c>
      <c r="L82" s="183"/>
    </row>
    <row r="83" spans="1:12" ht="79.2" x14ac:dyDescent="0.3">
      <c r="A83" s="719"/>
      <c r="B83" s="60" t="s">
        <v>83</v>
      </c>
      <c r="C83" s="82" t="s">
        <v>32</v>
      </c>
      <c r="D83" s="82">
        <v>3</v>
      </c>
      <c r="E83" s="82">
        <v>5</v>
      </c>
      <c r="F83" s="220">
        <f t="shared" si="10"/>
        <v>1.6666666666666667</v>
      </c>
      <c r="G83" s="182"/>
      <c r="H83" s="182"/>
      <c r="I83" s="182"/>
      <c r="J83" s="182"/>
      <c r="K83" s="487">
        <v>1</v>
      </c>
      <c r="L83" s="183"/>
    </row>
    <row r="84" spans="1:12" ht="39.6" x14ac:dyDescent="0.3">
      <c r="A84" s="719"/>
      <c r="B84" s="60" t="s">
        <v>84</v>
      </c>
      <c r="C84" s="82" t="s">
        <v>30</v>
      </c>
      <c r="D84" s="82">
        <v>2217</v>
      </c>
      <c r="E84" s="82">
        <v>1985</v>
      </c>
      <c r="F84" s="220">
        <f t="shared" si="10"/>
        <v>0.89535408209291834</v>
      </c>
      <c r="G84" s="182"/>
      <c r="H84" s="182"/>
      <c r="I84" s="182"/>
      <c r="J84" s="182"/>
      <c r="K84" s="487">
        <v>-1</v>
      </c>
      <c r="L84" s="183"/>
    </row>
    <row r="85" spans="1:12" ht="39.6" x14ac:dyDescent="0.3">
      <c r="A85" s="719"/>
      <c r="B85" s="60" t="s">
        <v>85</v>
      </c>
      <c r="C85" s="82" t="s">
        <v>30</v>
      </c>
      <c r="D85" s="82">
        <v>3828</v>
      </c>
      <c r="E85" s="82">
        <v>3811</v>
      </c>
      <c r="F85" s="220">
        <f t="shared" si="10"/>
        <v>0.99555903866248696</v>
      </c>
      <c r="G85" s="182"/>
      <c r="H85" s="182"/>
      <c r="I85" s="182"/>
      <c r="J85" s="182"/>
      <c r="K85" s="487">
        <v>-0.5</v>
      </c>
      <c r="L85" s="183"/>
    </row>
    <row r="86" spans="1:12" ht="39.6" x14ac:dyDescent="0.3">
      <c r="A86" s="719"/>
      <c r="B86" s="60" t="s">
        <v>86</v>
      </c>
      <c r="C86" s="82" t="s">
        <v>30</v>
      </c>
      <c r="D86" s="82">
        <v>1932</v>
      </c>
      <c r="E86" s="82">
        <v>3102</v>
      </c>
      <c r="F86" s="220">
        <f t="shared" si="10"/>
        <v>1.6055900621118013</v>
      </c>
      <c r="G86" s="182"/>
      <c r="H86" s="182"/>
      <c r="I86" s="182"/>
      <c r="J86" s="182"/>
      <c r="K86" s="487">
        <v>1</v>
      </c>
      <c r="L86" s="183"/>
    </row>
    <row r="87" spans="1:12" ht="26.4" x14ac:dyDescent="0.3">
      <c r="A87" s="719"/>
      <c r="B87" s="60" t="s">
        <v>87</v>
      </c>
      <c r="C87" s="82" t="s">
        <v>30</v>
      </c>
      <c r="D87" s="82">
        <v>5950</v>
      </c>
      <c r="E87" s="82">
        <v>4852</v>
      </c>
      <c r="F87" s="220">
        <f t="shared" si="10"/>
        <v>0.81546218487394961</v>
      </c>
      <c r="G87" s="182"/>
      <c r="H87" s="182"/>
      <c r="I87" s="182"/>
      <c r="J87" s="182"/>
      <c r="K87" s="487">
        <v>-1</v>
      </c>
      <c r="L87" s="183"/>
    </row>
    <row r="88" spans="1:12" ht="39.6" x14ac:dyDescent="0.3">
      <c r="A88" s="719"/>
      <c r="B88" s="60" t="s">
        <v>88</v>
      </c>
      <c r="C88" s="82" t="s">
        <v>32</v>
      </c>
      <c r="D88" s="82">
        <v>48</v>
      </c>
      <c r="E88" s="82">
        <v>48</v>
      </c>
      <c r="F88" s="220">
        <f t="shared" si="10"/>
        <v>1</v>
      </c>
      <c r="G88" s="182"/>
      <c r="H88" s="182"/>
      <c r="I88" s="182"/>
      <c r="J88" s="182"/>
      <c r="K88" s="487">
        <v>0.5</v>
      </c>
      <c r="L88" s="183"/>
    </row>
    <row r="89" spans="1:12" ht="39.6" x14ac:dyDescent="0.3">
      <c r="A89" s="719"/>
      <c r="B89" s="401" t="s">
        <v>89</v>
      </c>
      <c r="C89" s="82" t="s">
        <v>30</v>
      </c>
      <c r="D89" s="82">
        <v>410</v>
      </c>
      <c r="E89" s="82">
        <v>416</v>
      </c>
      <c r="F89" s="220">
        <f t="shared" si="10"/>
        <v>1.0146341463414634</v>
      </c>
      <c r="G89" s="182"/>
      <c r="H89" s="182"/>
      <c r="I89" s="182"/>
      <c r="J89" s="182"/>
      <c r="K89" s="487">
        <v>1</v>
      </c>
      <c r="L89" s="183"/>
    </row>
    <row r="90" spans="1:12" ht="66" x14ac:dyDescent="0.3">
      <c r="A90" s="719"/>
      <c r="B90" s="60" t="s">
        <v>90</v>
      </c>
      <c r="C90" s="82" t="s">
        <v>30</v>
      </c>
      <c r="D90" s="82">
        <v>430</v>
      </c>
      <c r="E90" s="82">
        <v>443</v>
      </c>
      <c r="F90" s="220">
        <f t="shared" si="10"/>
        <v>1.0302325581395348</v>
      </c>
      <c r="G90" s="182"/>
      <c r="H90" s="182"/>
      <c r="I90" s="182"/>
      <c r="J90" s="182"/>
      <c r="K90" s="487">
        <v>1</v>
      </c>
      <c r="L90" s="183"/>
    </row>
    <row r="91" spans="1:12" ht="39.6" x14ac:dyDescent="0.3">
      <c r="A91" s="719"/>
      <c r="B91" s="60" t="s">
        <v>91</v>
      </c>
      <c r="C91" s="82" t="s">
        <v>32</v>
      </c>
      <c r="D91" s="82">
        <v>15</v>
      </c>
      <c r="E91" s="82">
        <v>15</v>
      </c>
      <c r="F91" s="220">
        <f t="shared" si="10"/>
        <v>1</v>
      </c>
      <c r="G91" s="182"/>
      <c r="H91" s="182"/>
      <c r="I91" s="182"/>
      <c r="J91" s="182"/>
      <c r="K91" s="487">
        <v>0.5</v>
      </c>
      <c r="L91" s="183"/>
    </row>
    <row r="92" spans="1:12" ht="39.6" x14ac:dyDescent="0.3">
      <c r="A92" s="719"/>
      <c r="B92" s="60" t="s">
        <v>92</v>
      </c>
      <c r="C92" s="82" t="s">
        <v>30</v>
      </c>
      <c r="D92" s="82">
        <v>4100</v>
      </c>
      <c r="E92" s="82">
        <v>3325</v>
      </c>
      <c r="F92" s="220">
        <f t="shared" si="10"/>
        <v>0.81097560975609762</v>
      </c>
      <c r="G92" s="182"/>
      <c r="H92" s="182"/>
      <c r="I92" s="182"/>
      <c r="J92" s="182"/>
      <c r="K92" s="487">
        <v>-1</v>
      </c>
      <c r="L92" s="183"/>
    </row>
    <row r="93" spans="1:12" ht="39.6" x14ac:dyDescent="0.3">
      <c r="A93" s="719"/>
      <c r="B93" s="60" t="s">
        <v>93</v>
      </c>
      <c r="C93" s="82" t="s">
        <v>32</v>
      </c>
      <c r="D93" s="82">
        <v>1300</v>
      </c>
      <c r="E93" s="82">
        <v>2792</v>
      </c>
      <c r="F93" s="220">
        <f t="shared" si="10"/>
        <v>2.1476923076923078</v>
      </c>
      <c r="G93" s="182"/>
      <c r="H93" s="182"/>
      <c r="I93" s="182"/>
      <c r="J93" s="182"/>
      <c r="K93" s="487">
        <v>1</v>
      </c>
      <c r="L93" s="183"/>
    </row>
    <row r="94" spans="1:12" ht="79.2" x14ac:dyDescent="0.3">
      <c r="A94" s="719"/>
      <c r="B94" s="60" t="s">
        <v>94</v>
      </c>
      <c r="C94" s="82" t="s">
        <v>32</v>
      </c>
      <c r="D94" s="82">
        <v>6</v>
      </c>
      <c r="E94" s="82">
        <v>10</v>
      </c>
      <c r="F94" s="220">
        <f t="shared" si="10"/>
        <v>1.6666666666666667</v>
      </c>
      <c r="G94" s="182"/>
      <c r="H94" s="182"/>
      <c r="I94" s="182"/>
      <c r="J94" s="182"/>
      <c r="K94" s="487">
        <v>1</v>
      </c>
      <c r="L94" s="183"/>
    </row>
    <row r="95" spans="1:12" ht="39.6" x14ac:dyDescent="0.3">
      <c r="A95" s="719"/>
      <c r="B95" s="60" t="s">
        <v>95</v>
      </c>
      <c r="C95" s="82" t="s">
        <v>30</v>
      </c>
      <c r="D95" s="82">
        <v>12</v>
      </c>
      <c r="E95" s="82">
        <v>13</v>
      </c>
      <c r="F95" s="220">
        <f t="shared" si="10"/>
        <v>1.0833333333333333</v>
      </c>
      <c r="G95" s="182"/>
      <c r="H95" s="182"/>
      <c r="I95" s="182"/>
      <c r="J95" s="182"/>
      <c r="K95" s="487">
        <v>1</v>
      </c>
      <c r="L95" s="183"/>
    </row>
    <row r="96" spans="1:12" ht="39.6" x14ac:dyDescent="0.3">
      <c r="A96" s="719"/>
      <c r="B96" s="60" t="s">
        <v>96</v>
      </c>
      <c r="C96" s="82" t="s">
        <v>32</v>
      </c>
      <c r="D96" s="82">
        <v>7</v>
      </c>
      <c r="E96" s="82">
        <v>6</v>
      </c>
      <c r="F96" s="220">
        <f t="shared" si="10"/>
        <v>0.8571428571428571</v>
      </c>
      <c r="G96" s="182"/>
      <c r="H96" s="182"/>
      <c r="I96" s="182"/>
      <c r="J96" s="182"/>
      <c r="K96" s="487">
        <v>-1</v>
      </c>
      <c r="L96" s="183"/>
    </row>
    <row r="97" spans="1:12" ht="52.8" x14ac:dyDescent="0.3">
      <c r="A97" s="719"/>
      <c r="B97" s="60" t="s">
        <v>97</v>
      </c>
      <c r="C97" s="82" t="s">
        <v>30</v>
      </c>
      <c r="D97" s="82">
        <v>1700</v>
      </c>
      <c r="E97" s="82">
        <v>6515</v>
      </c>
      <c r="F97" s="220">
        <f t="shared" si="10"/>
        <v>3.8323529411764707</v>
      </c>
      <c r="G97" s="182"/>
      <c r="H97" s="182"/>
      <c r="I97" s="182"/>
      <c r="J97" s="182"/>
      <c r="K97" s="487">
        <v>1</v>
      </c>
      <c r="L97" s="183"/>
    </row>
    <row r="98" spans="1:12" ht="66" x14ac:dyDescent="0.3">
      <c r="A98" s="719"/>
      <c r="B98" s="60" t="s">
        <v>98</v>
      </c>
      <c r="C98" s="82" t="s">
        <v>30</v>
      </c>
      <c r="D98" s="82">
        <v>100</v>
      </c>
      <c r="E98" s="82">
        <v>120</v>
      </c>
      <c r="F98" s="220">
        <f t="shared" si="10"/>
        <v>1.2</v>
      </c>
      <c r="G98" s="182"/>
      <c r="H98" s="182"/>
      <c r="I98" s="182"/>
      <c r="J98" s="182"/>
      <c r="K98" s="487">
        <v>1</v>
      </c>
      <c r="L98" s="183"/>
    </row>
    <row r="99" spans="1:12" ht="26.4" x14ac:dyDescent="0.3">
      <c r="A99" s="719"/>
      <c r="B99" s="60" t="s">
        <v>99</v>
      </c>
      <c r="C99" s="82" t="s">
        <v>30</v>
      </c>
      <c r="D99" s="82">
        <v>17</v>
      </c>
      <c r="E99" s="82">
        <v>0</v>
      </c>
      <c r="F99" s="220">
        <f t="shared" si="10"/>
        <v>0</v>
      </c>
      <c r="G99" s="182"/>
      <c r="H99" s="182"/>
      <c r="I99" s="182"/>
      <c r="J99" s="182"/>
      <c r="K99" s="487">
        <v>-1</v>
      </c>
      <c r="L99" s="183"/>
    </row>
    <row r="100" spans="1:12" ht="52.8" x14ac:dyDescent="0.3">
      <c r="A100" s="719"/>
      <c r="B100" s="60" t="s">
        <v>100</v>
      </c>
      <c r="C100" s="82" t="s">
        <v>32</v>
      </c>
      <c r="D100" s="82">
        <v>10</v>
      </c>
      <c r="E100" s="82">
        <v>9</v>
      </c>
      <c r="F100" s="220">
        <f t="shared" si="10"/>
        <v>0.9</v>
      </c>
      <c r="G100" s="182"/>
      <c r="H100" s="182"/>
      <c r="I100" s="182"/>
      <c r="J100" s="182"/>
      <c r="K100" s="487">
        <v>-1</v>
      </c>
      <c r="L100" s="183"/>
    </row>
    <row r="101" spans="1:12" ht="69.75" customHeight="1" x14ac:dyDescent="0.3">
      <c r="A101" s="719"/>
      <c r="B101" s="60" t="s">
        <v>101</v>
      </c>
      <c r="C101" s="82" t="s">
        <v>30</v>
      </c>
      <c r="D101" s="82">
        <v>550</v>
      </c>
      <c r="E101" s="82">
        <v>561</v>
      </c>
      <c r="F101" s="220">
        <f t="shared" si="10"/>
        <v>1.02</v>
      </c>
      <c r="G101" s="182"/>
      <c r="H101" s="182"/>
      <c r="I101" s="182"/>
      <c r="J101" s="182"/>
      <c r="K101" s="487">
        <v>1</v>
      </c>
      <c r="L101" s="183"/>
    </row>
    <row r="102" spans="1:12" ht="45" customHeight="1" x14ac:dyDescent="0.3">
      <c r="A102" s="719"/>
      <c r="B102" s="670" t="s">
        <v>313</v>
      </c>
      <c r="C102" s="671" t="s">
        <v>30</v>
      </c>
      <c r="D102" s="671">
        <v>4</v>
      </c>
      <c r="E102" s="671">
        <v>3</v>
      </c>
      <c r="F102" s="548">
        <f t="shared" si="10"/>
        <v>0.75</v>
      </c>
      <c r="G102" s="174"/>
      <c r="H102" s="174"/>
      <c r="I102" s="174"/>
      <c r="J102" s="174"/>
      <c r="K102" s="672">
        <v>-1</v>
      </c>
      <c r="L102" s="175"/>
    </row>
    <row r="103" spans="1:12" ht="45" customHeight="1" x14ac:dyDescent="0.3">
      <c r="A103" s="719"/>
      <c r="B103" s="670" t="s">
        <v>314</v>
      </c>
      <c r="C103" s="671" t="s">
        <v>138</v>
      </c>
      <c r="D103" s="671">
        <v>3</v>
      </c>
      <c r="E103" s="671">
        <v>5</v>
      </c>
      <c r="F103" s="548">
        <f t="shared" si="10"/>
        <v>1.6666666666666667</v>
      </c>
      <c r="G103" s="174"/>
      <c r="H103" s="174"/>
      <c r="I103" s="174"/>
      <c r="J103" s="174"/>
      <c r="K103" s="672">
        <v>1</v>
      </c>
      <c r="L103" s="175"/>
    </row>
    <row r="104" spans="1:12" ht="22.8" customHeight="1" x14ac:dyDescent="0.3">
      <c r="A104" s="719"/>
      <c r="B104" s="670" t="s">
        <v>315</v>
      </c>
      <c r="C104" s="671" t="s">
        <v>32</v>
      </c>
      <c r="D104" s="671">
        <v>27</v>
      </c>
      <c r="E104" s="671">
        <v>31</v>
      </c>
      <c r="F104" s="548">
        <f t="shared" si="10"/>
        <v>1.1481481481481481</v>
      </c>
      <c r="G104" s="174"/>
      <c r="H104" s="174"/>
      <c r="I104" s="174"/>
      <c r="J104" s="174"/>
      <c r="K104" s="672">
        <v>1</v>
      </c>
      <c r="L104" s="175"/>
    </row>
    <row r="105" spans="1:12" ht="22.8" customHeight="1" x14ac:dyDescent="0.3">
      <c r="A105" s="719"/>
      <c r="B105" s="670" t="s">
        <v>316</v>
      </c>
      <c r="C105" s="671" t="s">
        <v>30</v>
      </c>
      <c r="D105" s="671">
        <v>34</v>
      </c>
      <c r="E105" s="671">
        <v>40</v>
      </c>
      <c r="F105" s="548">
        <f t="shared" si="10"/>
        <v>1.1764705882352942</v>
      </c>
      <c r="G105" s="174"/>
      <c r="H105" s="174"/>
      <c r="I105" s="174"/>
      <c r="J105" s="174"/>
      <c r="K105" s="672">
        <v>1</v>
      </c>
      <c r="L105" s="175"/>
    </row>
    <row r="106" spans="1:12" ht="28.8" customHeight="1" x14ac:dyDescent="0.3">
      <c r="A106" s="719"/>
      <c r="B106" s="670" t="s">
        <v>317</v>
      </c>
      <c r="C106" s="671" t="s">
        <v>30</v>
      </c>
      <c r="D106" s="671">
        <v>45</v>
      </c>
      <c r="E106" s="671">
        <v>47</v>
      </c>
      <c r="F106" s="548">
        <f t="shared" si="10"/>
        <v>1.0444444444444445</v>
      </c>
      <c r="G106" s="174"/>
      <c r="H106" s="174"/>
      <c r="I106" s="174"/>
      <c r="J106" s="174"/>
      <c r="K106" s="672">
        <v>1</v>
      </c>
      <c r="L106" s="175"/>
    </row>
    <row r="107" spans="1:12" ht="15" thickBot="1" x14ac:dyDescent="0.35">
      <c r="A107" s="720"/>
      <c r="B107" s="599" t="s">
        <v>300</v>
      </c>
      <c r="C107" s="590"/>
      <c r="D107" s="590"/>
      <c r="E107" s="590"/>
      <c r="F107" s="581"/>
      <c r="G107" s="574"/>
      <c r="H107" s="574"/>
      <c r="I107" s="574"/>
      <c r="J107" s="581">
        <v>1.2529999999999999</v>
      </c>
      <c r="K107" s="600"/>
      <c r="L107" s="598"/>
    </row>
    <row r="108" spans="1:12" ht="52.8" x14ac:dyDescent="0.3">
      <c r="A108" s="767" t="s">
        <v>56</v>
      </c>
      <c r="B108" s="56" t="s">
        <v>102</v>
      </c>
      <c r="C108" s="186"/>
      <c r="D108" s="2"/>
      <c r="E108" s="2"/>
      <c r="F108" s="77"/>
      <c r="G108" s="178"/>
      <c r="H108" s="178"/>
      <c r="I108" s="178"/>
      <c r="J108" s="669" t="s">
        <v>308</v>
      </c>
      <c r="K108" s="178"/>
      <c r="L108" s="462" t="s">
        <v>304</v>
      </c>
    </row>
    <row r="109" spans="1:12" x14ac:dyDescent="0.3">
      <c r="A109" s="768"/>
      <c r="B109" s="191" t="s">
        <v>19</v>
      </c>
      <c r="C109" s="192" t="s">
        <v>20</v>
      </c>
      <c r="D109" s="194">
        <f t="shared" ref="D109:E109" si="11">SUM(D110:D111)</f>
        <v>2348</v>
      </c>
      <c r="E109" s="194">
        <f t="shared" si="11"/>
        <v>2227.9</v>
      </c>
      <c r="F109" s="201">
        <f>E109/D109</f>
        <v>0.9488500851788757</v>
      </c>
      <c r="G109" s="139"/>
      <c r="H109" s="139"/>
      <c r="I109" s="139"/>
      <c r="J109" s="139"/>
      <c r="K109" s="139"/>
      <c r="L109" s="111"/>
    </row>
    <row r="110" spans="1:12" x14ac:dyDescent="0.3">
      <c r="A110" s="768"/>
      <c r="B110" s="10" t="s">
        <v>74</v>
      </c>
      <c r="C110" s="181" t="s">
        <v>20</v>
      </c>
      <c r="D110" s="185">
        <v>450</v>
      </c>
      <c r="E110" s="185">
        <v>450</v>
      </c>
      <c r="F110" s="202">
        <f>E110/D110</f>
        <v>1</v>
      </c>
      <c r="G110" s="139"/>
      <c r="H110" s="139"/>
      <c r="I110" s="139"/>
      <c r="J110" s="139"/>
      <c r="K110" s="139"/>
      <c r="L110" s="111"/>
    </row>
    <row r="111" spans="1:12" x14ac:dyDescent="0.3">
      <c r="A111" s="768"/>
      <c r="B111" s="10" t="s">
        <v>35</v>
      </c>
      <c r="C111" s="181" t="s">
        <v>20</v>
      </c>
      <c r="D111" s="185">
        <v>1898</v>
      </c>
      <c r="E111" s="185">
        <v>1777.9</v>
      </c>
      <c r="F111" s="202">
        <f>E111/D111</f>
        <v>0.93672286617492106</v>
      </c>
      <c r="G111" s="139"/>
      <c r="H111" s="139"/>
      <c r="I111" s="139"/>
      <c r="J111" s="139"/>
      <c r="K111" s="139"/>
      <c r="L111" s="111"/>
    </row>
    <row r="112" spans="1:12" x14ac:dyDescent="0.3">
      <c r="A112" s="768"/>
      <c r="B112" s="265" t="s">
        <v>75</v>
      </c>
      <c r="C112" s="26"/>
      <c r="D112" s="26"/>
      <c r="E112" s="26"/>
      <c r="F112" s="23"/>
      <c r="G112" s="460">
        <v>7</v>
      </c>
      <c r="H112" s="460">
        <v>6</v>
      </c>
      <c r="I112" s="460">
        <v>1</v>
      </c>
      <c r="J112" s="460"/>
      <c r="K112" s="460">
        <f>SUM(K113:K119)</f>
        <v>6</v>
      </c>
      <c r="L112" s="461"/>
    </row>
    <row r="113" spans="1:12" ht="66" x14ac:dyDescent="0.3">
      <c r="A113" s="768"/>
      <c r="B113" s="402" t="s">
        <v>248</v>
      </c>
      <c r="C113" s="13" t="s">
        <v>103</v>
      </c>
      <c r="D113" s="219">
        <v>3530</v>
      </c>
      <c r="E113" s="219">
        <v>3900</v>
      </c>
      <c r="F113" s="220">
        <f>E113/D113</f>
        <v>1.1048158640226629</v>
      </c>
      <c r="G113" s="139"/>
      <c r="H113" s="139"/>
      <c r="I113" s="139"/>
      <c r="J113" s="139"/>
      <c r="K113" s="82">
        <v>1</v>
      </c>
      <c r="L113" s="111"/>
    </row>
    <row r="114" spans="1:12" ht="52.8" x14ac:dyDescent="0.3">
      <c r="A114" s="768"/>
      <c r="B114" s="311" t="s">
        <v>249</v>
      </c>
      <c r="C114" s="45" t="s">
        <v>30</v>
      </c>
      <c r="D114" s="235">
        <v>3200</v>
      </c>
      <c r="E114" s="219">
        <v>3520</v>
      </c>
      <c r="F114" s="220">
        <f>E114/D114</f>
        <v>1.1000000000000001</v>
      </c>
      <c r="G114" s="139"/>
      <c r="H114" s="139"/>
      <c r="I114" s="139"/>
      <c r="J114" s="139"/>
      <c r="K114" s="82">
        <v>1</v>
      </c>
      <c r="L114" s="111"/>
    </row>
    <row r="115" spans="1:12" ht="39.6" x14ac:dyDescent="0.3">
      <c r="A115" s="768"/>
      <c r="B115" s="311" t="s">
        <v>250</v>
      </c>
      <c r="C115" s="45" t="s">
        <v>30</v>
      </c>
      <c r="D115" s="235">
        <v>697</v>
      </c>
      <c r="E115" s="219">
        <v>728</v>
      </c>
      <c r="F115" s="220">
        <f>E115/D115</f>
        <v>1.0444763271162123</v>
      </c>
      <c r="G115" s="139"/>
      <c r="H115" s="139"/>
      <c r="I115" s="139"/>
      <c r="J115" s="139"/>
      <c r="K115" s="82">
        <v>1</v>
      </c>
      <c r="L115" s="111"/>
    </row>
    <row r="116" spans="1:12" ht="39.6" x14ac:dyDescent="0.3">
      <c r="A116" s="768"/>
      <c r="B116" s="311" t="s">
        <v>251</v>
      </c>
      <c r="C116" s="45"/>
      <c r="D116" s="235">
        <v>0.7</v>
      </c>
      <c r="E116" s="219">
        <v>0.8</v>
      </c>
      <c r="F116" s="220">
        <f>E116/D116</f>
        <v>1.142857142857143</v>
      </c>
      <c r="G116" s="139"/>
      <c r="H116" s="139"/>
      <c r="I116" s="139"/>
      <c r="J116" s="139"/>
      <c r="K116" s="82">
        <v>1</v>
      </c>
      <c r="L116" s="111"/>
    </row>
    <row r="117" spans="1:12" ht="39.6" x14ac:dyDescent="0.3">
      <c r="A117" s="768"/>
      <c r="B117" s="311" t="s">
        <v>209</v>
      </c>
      <c r="C117" s="45"/>
      <c r="D117" s="235">
        <v>0.3</v>
      </c>
      <c r="E117" s="219" t="s">
        <v>210</v>
      </c>
      <c r="F117" s="219" t="s">
        <v>210</v>
      </c>
      <c r="G117" s="139"/>
      <c r="H117" s="139"/>
      <c r="I117" s="139"/>
      <c r="J117" s="139"/>
      <c r="K117" s="82">
        <v>0</v>
      </c>
      <c r="L117" s="111"/>
    </row>
    <row r="118" spans="1:12" ht="66" x14ac:dyDescent="0.3">
      <c r="A118" s="768"/>
      <c r="B118" s="311" t="s">
        <v>104</v>
      </c>
      <c r="C118" s="45" t="s">
        <v>30</v>
      </c>
      <c r="D118" s="235">
        <v>2200</v>
      </c>
      <c r="E118" s="219">
        <v>2530</v>
      </c>
      <c r="F118" s="220">
        <f>E118/D118</f>
        <v>1.1499999999999999</v>
      </c>
      <c r="G118" s="139"/>
      <c r="H118" s="139"/>
      <c r="I118" s="139"/>
      <c r="J118" s="139"/>
      <c r="K118" s="82">
        <v>1</v>
      </c>
      <c r="L118" s="111"/>
    </row>
    <row r="119" spans="1:12" ht="92.4" x14ac:dyDescent="0.3">
      <c r="A119" s="768"/>
      <c r="B119" s="311" t="s">
        <v>252</v>
      </c>
      <c r="C119" s="45" t="s">
        <v>26</v>
      </c>
      <c r="D119" s="235">
        <v>70</v>
      </c>
      <c r="E119" s="219">
        <v>80</v>
      </c>
      <c r="F119" s="220">
        <f>E119/D119</f>
        <v>1.1428571428571428</v>
      </c>
      <c r="G119" s="584"/>
      <c r="H119" s="584"/>
      <c r="I119" s="584"/>
      <c r="J119" s="584"/>
      <c r="K119" s="488">
        <v>1</v>
      </c>
      <c r="L119" s="585"/>
    </row>
    <row r="120" spans="1:12" ht="15" thickBot="1" x14ac:dyDescent="0.35">
      <c r="A120" s="576"/>
      <c r="B120" s="601" t="s">
        <v>300</v>
      </c>
      <c r="C120" s="589"/>
      <c r="D120" s="602"/>
      <c r="E120" s="580"/>
      <c r="F120" s="581"/>
      <c r="G120" s="574"/>
      <c r="H120" s="574"/>
      <c r="I120" s="574"/>
      <c r="J120" s="583">
        <f>(0.1*F113+0.2*F114+0.2*F115+0.1*F116+0.1*0+0.2*F118+0.1*F119)/F109</f>
        <v>1.0517449447336096</v>
      </c>
      <c r="K120" s="603"/>
      <c r="L120" s="436"/>
    </row>
    <row r="121" spans="1:12" x14ac:dyDescent="0.3">
      <c r="A121" s="730" t="s">
        <v>105</v>
      </c>
      <c r="B121" s="28" t="s">
        <v>106</v>
      </c>
      <c r="C121" s="186"/>
      <c r="D121" s="2"/>
      <c r="E121" s="2"/>
      <c r="F121" s="77"/>
      <c r="G121" s="178"/>
      <c r="H121" s="178"/>
      <c r="I121" s="178"/>
      <c r="J121" s="514"/>
      <c r="K121" s="514"/>
      <c r="L121" s="188"/>
    </row>
    <row r="122" spans="1:12" x14ac:dyDescent="0.3">
      <c r="A122" s="731"/>
      <c r="B122" s="191" t="s">
        <v>19</v>
      </c>
      <c r="C122" s="192" t="s">
        <v>20</v>
      </c>
      <c r="D122" s="194">
        <f t="shared" ref="D122:E122" si="12">SUM(D123:D126)</f>
        <v>159189.69999999998</v>
      </c>
      <c r="E122" s="194">
        <f t="shared" si="12"/>
        <v>155799.93</v>
      </c>
      <c r="F122" s="201">
        <f>E122/D122</f>
        <v>0.97870609719096158</v>
      </c>
      <c r="G122" s="222"/>
      <c r="H122" s="222"/>
      <c r="I122" s="222"/>
      <c r="J122" s="511"/>
      <c r="K122" s="511"/>
      <c r="L122" s="431"/>
    </row>
    <row r="123" spans="1:12" x14ac:dyDescent="0.3">
      <c r="A123" s="731"/>
      <c r="B123" s="11" t="s">
        <v>21</v>
      </c>
      <c r="C123" s="181" t="s">
        <v>20</v>
      </c>
      <c r="D123" s="185">
        <f t="shared" ref="D123:E123" si="13">D167</f>
        <v>24688.1</v>
      </c>
      <c r="E123" s="185">
        <f t="shared" si="13"/>
        <v>23028.799999999999</v>
      </c>
      <c r="F123" s="202">
        <f>E123/D123</f>
        <v>0.93278948157209352</v>
      </c>
      <c r="G123" s="139"/>
      <c r="H123" s="139"/>
      <c r="I123" s="139"/>
      <c r="J123" s="512"/>
      <c r="K123" s="512"/>
      <c r="L123" s="111"/>
    </row>
    <row r="124" spans="1:12" x14ac:dyDescent="0.3">
      <c r="A124" s="731"/>
      <c r="B124" s="11" t="s">
        <v>107</v>
      </c>
      <c r="C124" s="181" t="s">
        <v>20</v>
      </c>
      <c r="D124" s="185"/>
      <c r="E124" s="185"/>
      <c r="F124" s="202" t="e">
        <f>E124/D124</f>
        <v>#DIV/0!</v>
      </c>
      <c r="G124" s="139"/>
      <c r="H124" s="139"/>
      <c r="I124" s="139"/>
      <c r="J124" s="512"/>
      <c r="K124" s="512"/>
      <c r="L124" s="111"/>
    </row>
    <row r="125" spans="1:12" x14ac:dyDescent="0.3">
      <c r="A125" s="731"/>
      <c r="B125" s="11" t="s">
        <v>74</v>
      </c>
      <c r="C125" s="181" t="s">
        <v>20</v>
      </c>
      <c r="D125" s="185">
        <f>D130+D149+D168</f>
        <v>131002.09999999999</v>
      </c>
      <c r="E125" s="185">
        <f>E130+E149+E168</f>
        <v>129324.3</v>
      </c>
      <c r="F125" s="202">
        <f>E125/D125</f>
        <v>0.98719257172213282</v>
      </c>
      <c r="G125" s="139"/>
      <c r="H125" s="139"/>
      <c r="I125" s="139"/>
      <c r="J125" s="512"/>
      <c r="K125" s="512"/>
      <c r="L125" s="111"/>
    </row>
    <row r="126" spans="1:12" x14ac:dyDescent="0.3">
      <c r="A126" s="731"/>
      <c r="B126" s="11" t="s">
        <v>35</v>
      </c>
      <c r="C126" s="181" t="s">
        <v>20</v>
      </c>
      <c r="D126" s="185">
        <f>D131+D150+D169+D177+D185</f>
        <v>3499.5</v>
      </c>
      <c r="E126" s="185">
        <f>E131+E150+E169+E177+E185</f>
        <v>3446.83</v>
      </c>
      <c r="F126" s="202">
        <f>E126/D126</f>
        <v>0.98494927846835256</v>
      </c>
      <c r="G126" s="139"/>
      <c r="H126" s="139"/>
      <c r="I126" s="139"/>
      <c r="J126" s="512"/>
      <c r="K126" s="512"/>
      <c r="L126" s="111"/>
    </row>
    <row r="127" spans="1:12" ht="40.200000000000003" thickBot="1" x14ac:dyDescent="0.35">
      <c r="A127" s="732"/>
      <c r="B127" s="30" t="s">
        <v>36</v>
      </c>
      <c r="C127" s="161"/>
      <c r="D127" s="161"/>
      <c r="E127" s="309"/>
      <c r="F127" s="86"/>
      <c r="G127" s="42"/>
      <c r="H127" s="42"/>
      <c r="I127" s="42"/>
      <c r="J127" s="513"/>
      <c r="K127" s="513"/>
      <c r="L127" s="310"/>
    </row>
    <row r="128" spans="1:12" ht="52.8" x14ac:dyDescent="0.3">
      <c r="A128" s="754">
        <v>8</v>
      </c>
      <c r="B128" s="428" t="s">
        <v>255</v>
      </c>
      <c r="C128" s="29"/>
      <c r="D128" s="29"/>
      <c r="E128" s="167"/>
      <c r="F128" s="77"/>
      <c r="G128" s="1"/>
      <c r="H128" s="1"/>
      <c r="I128" s="1"/>
      <c r="J128" s="669" t="s">
        <v>311</v>
      </c>
      <c r="K128" s="178"/>
      <c r="L128" s="462" t="s">
        <v>304</v>
      </c>
    </row>
    <row r="129" spans="1:12" x14ac:dyDescent="0.3">
      <c r="A129" s="755"/>
      <c r="B129" s="213" t="s">
        <v>258</v>
      </c>
      <c r="C129" s="181"/>
      <c r="D129" s="398">
        <f t="shared" ref="D129:E129" si="14">SUM(D130:D131)</f>
        <v>75</v>
      </c>
      <c r="E129" s="398">
        <f t="shared" si="14"/>
        <v>41.4</v>
      </c>
      <c r="F129" s="134">
        <f>E129/D129</f>
        <v>0.55199999999999994</v>
      </c>
      <c r="G129" s="139"/>
      <c r="H129" s="139"/>
      <c r="I129" s="139"/>
      <c r="J129" s="139"/>
      <c r="K129" s="139"/>
      <c r="L129" s="111"/>
    </row>
    <row r="130" spans="1:12" x14ac:dyDescent="0.3">
      <c r="A130" s="755"/>
      <c r="B130" s="211" t="s">
        <v>74</v>
      </c>
      <c r="C130" s="214"/>
      <c r="D130" s="391">
        <v>0</v>
      </c>
      <c r="E130" s="391">
        <v>0</v>
      </c>
      <c r="F130" s="134">
        <v>0</v>
      </c>
      <c r="G130" s="215"/>
      <c r="H130" s="215"/>
      <c r="I130" s="215"/>
      <c r="J130" s="215"/>
      <c r="K130" s="215"/>
      <c r="L130" s="430"/>
    </row>
    <row r="131" spans="1:12" x14ac:dyDescent="0.3">
      <c r="A131" s="755"/>
      <c r="B131" s="211" t="s">
        <v>35</v>
      </c>
      <c r="C131" s="214"/>
      <c r="D131" s="391">
        <v>75</v>
      </c>
      <c r="E131" s="391">
        <v>41.4</v>
      </c>
      <c r="F131" s="134">
        <f>E131/D131</f>
        <v>0.55199999999999994</v>
      </c>
      <c r="G131" s="215"/>
      <c r="H131" s="215"/>
      <c r="I131" s="215"/>
      <c r="J131" s="215"/>
      <c r="K131" s="215"/>
      <c r="L131" s="430"/>
    </row>
    <row r="132" spans="1:12" x14ac:dyDescent="0.3">
      <c r="A132" s="755"/>
      <c r="B132" s="233" t="s">
        <v>223</v>
      </c>
      <c r="C132" s="26"/>
      <c r="D132" s="26"/>
      <c r="E132" s="429"/>
      <c r="F132" s="23"/>
      <c r="G132" s="688">
        <v>8</v>
      </c>
      <c r="H132" s="688">
        <v>8</v>
      </c>
      <c r="I132" s="688">
        <v>0</v>
      </c>
      <c r="J132" s="49"/>
      <c r="K132" s="460">
        <f>K133+K134+K140+K141+K142+K143+K144+K145</f>
        <v>4</v>
      </c>
      <c r="L132" s="50"/>
    </row>
    <row r="133" spans="1:12" s="604" customFormat="1" ht="52.8" x14ac:dyDescent="0.3">
      <c r="A133" s="755"/>
      <c r="B133" s="552" t="s">
        <v>282</v>
      </c>
      <c r="C133" s="470" t="s">
        <v>295</v>
      </c>
      <c r="D133" s="470">
        <v>5</v>
      </c>
      <c r="E133" s="82">
        <v>5</v>
      </c>
      <c r="F133" s="682">
        <f>E133/D133</f>
        <v>1</v>
      </c>
      <c r="G133" s="139"/>
      <c r="H133" s="139"/>
      <c r="I133" s="139"/>
      <c r="J133" s="139"/>
      <c r="K133" s="687">
        <v>0.5</v>
      </c>
      <c r="L133" s="111"/>
    </row>
    <row r="134" spans="1:12" ht="66" x14ac:dyDescent="0.3">
      <c r="A134" s="755"/>
      <c r="B134" s="605" t="s">
        <v>283</v>
      </c>
      <c r="C134" s="470" t="s">
        <v>295</v>
      </c>
      <c r="D134" s="470">
        <v>8</v>
      </c>
      <c r="E134" s="82">
        <v>8</v>
      </c>
      <c r="F134" s="682">
        <f t="shared" ref="F134:F145" si="15">E134/D134</f>
        <v>1</v>
      </c>
      <c r="G134" s="139"/>
      <c r="H134" s="139"/>
      <c r="I134" s="139"/>
      <c r="J134" s="139"/>
      <c r="K134" s="687">
        <v>0.5</v>
      </c>
      <c r="L134" s="111"/>
    </row>
    <row r="135" spans="1:12" ht="39.6" x14ac:dyDescent="0.3">
      <c r="A135" s="755"/>
      <c r="B135" s="552" t="s">
        <v>284</v>
      </c>
      <c r="C135" s="470" t="s">
        <v>295</v>
      </c>
      <c r="D135" s="470">
        <v>3</v>
      </c>
      <c r="E135" s="82">
        <v>3</v>
      </c>
      <c r="F135" s="682">
        <f t="shared" si="15"/>
        <v>1</v>
      </c>
      <c r="G135" s="139"/>
      <c r="H135" s="139"/>
      <c r="I135" s="139"/>
      <c r="J135" s="139"/>
      <c r="K135" s="687">
        <v>0.5</v>
      </c>
      <c r="L135" s="111"/>
    </row>
    <row r="136" spans="1:12" ht="26.4" x14ac:dyDescent="0.3">
      <c r="A136" s="755"/>
      <c r="B136" s="606" t="s">
        <v>285</v>
      </c>
      <c r="C136" s="470" t="s">
        <v>295</v>
      </c>
      <c r="D136" s="470">
        <v>0</v>
      </c>
      <c r="E136" s="82">
        <v>0</v>
      </c>
      <c r="F136" s="682">
        <v>1</v>
      </c>
      <c r="G136" s="139"/>
      <c r="H136" s="139"/>
      <c r="I136" s="139"/>
      <c r="J136" s="139"/>
      <c r="K136" s="687">
        <v>0.5</v>
      </c>
      <c r="L136" s="111"/>
    </row>
    <row r="137" spans="1:12" ht="26.4" x14ac:dyDescent="0.3">
      <c r="A137" s="755"/>
      <c r="B137" s="606" t="s">
        <v>286</v>
      </c>
      <c r="C137" s="470" t="s">
        <v>295</v>
      </c>
      <c r="D137" s="470">
        <v>0</v>
      </c>
      <c r="E137" s="82">
        <v>0</v>
      </c>
      <c r="F137" s="682">
        <v>1</v>
      </c>
      <c r="G137" s="139"/>
      <c r="H137" s="139"/>
      <c r="I137" s="139"/>
      <c r="J137" s="139"/>
      <c r="K137" s="687">
        <v>0.5</v>
      </c>
      <c r="L137" s="111"/>
    </row>
    <row r="138" spans="1:12" ht="26.4" x14ac:dyDescent="0.3">
      <c r="A138" s="755"/>
      <c r="B138" s="606" t="s">
        <v>287</v>
      </c>
      <c r="C138" s="470" t="s">
        <v>295</v>
      </c>
      <c r="D138" s="470">
        <v>0</v>
      </c>
      <c r="E138" s="82">
        <v>0</v>
      </c>
      <c r="F138" s="682">
        <v>1</v>
      </c>
      <c r="G138" s="139"/>
      <c r="H138" s="139"/>
      <c r="I138" s="139"/>
      <c r="J138" s="139"/>
      <c r="K138" s="687">
        <v>0.5</v>
      </c>
      <c r="L138" s="111"/>
    </row>
    <row r="139" spans="1:12" ht="26.4" x14ac:dyDescent="0.3">
      <c r="A139" s="755"/>
      <c r="B139" s="606" t="s">
        <v>288</v>
      </c>
      <c r="C139" s="470" t="s">
        <v>295</v>
      </c>
      <c r="D139" s="470">
        <v>5</v>
      </c>
      <c r="E139" s="82">
        <v>5</v>
      </c>
      <c r="F139" s="682">
        <f t="shared" si="15"/>
        <v>1</v>
      </c>
      <c r="G139" s="139"/>
      <c r="H139" s="139"/>
      <c r="I139" s="139"/>
      <c r="J139" s="139"/>
      <c r="K139" s="687">
        <v>0.5</v>
      </c>
      <c r="L139" s="111"/>
    </row>
    <row r="140" spans="1:12" ht="52.8" x14ac:dyDescent="0.3">
      <c r="A140" s="755"/>
      <c r="B140" s="300" t="s">
        <v>289</v>
      </c>
      <c r="C140" s="470" t="s">
        <v>296</v>
      </c>
      <c r="D140" s="470">
        <v>0</v>
      </c>
      <c r="E140" s="82">
        <v>0</v>
      </c>
      <c r="F140" s="682">
        <v>1</v>
      </c>
      <c r="G140" s="139"/>
      <c r="H140" s="139"/>
      <c r="I140" s="139"/>
      <c r="J140" s="139"/>
      <c r="K140" s="687">
        <v>0.5</v>
      </c>
      <c r="L140" s="111"/>
    </row>
    <row r="141" spans="1:12" ht="66" x14ac:dyDescent="0.3">
      <c r="A141" s="755"/>
      <c r="B141" s="552" t="s">
        <v>290</v>
      </c>
      <c r="C141" s="470" t="s">
        <v>296</v>
      </c>
      <c r="D141" s="470">
        <v>0</v>
      </c>
      <c r="E141" s="82">
        <v>0</v>
      </c>
      <c r="F141" s="682">
        <v>1</v>
      </c>
      <c r="G141" s="139"/>
      <c r="H141" s="139"/>
      <c r="I141" s="139"/>
      <c r="J141" s="139"/>
      <c r="K141" s="687">
        <v>0.5</v>
      </c>
      <c r="L141" s="111"/>
    </row>
    <row r="142" spans="1:12" ht="52.8" x14ac:dyDescent="0.3">
      <c r="A142" s="755"/>
      <c r="B142" s="552" t="s">
        <v>291</v>
      </c>
      <c r="C142" s="470" t="s">
        <v>297</v>
      </c>
      <c r="D142" s="470">
        <v>50</v>
      </c>
      <c r="E142" s="82">
        <v>50</v>
      </c>
      <c r="F142" s="682">
        <f t="shared" si="15"/>
        <v>1</v>
      </c>
      <c r="G142" s="139"/>
      <c r="H142" s="139"/>
      <c r="I142" s="139"/>
      <c r="J142" s="139"/>
      <c r="K142" s="687">
        <v>0.5</v>
      </c>
      <c r="L142" s="111"/>
    </row>
    <row r="143" spans="1:12" ht="118.8" x14ac:dyDescent="0.3">
      <c r="A143" s="755"/>
      <c r="B143" s="300" t="s">
        <v>292</v>
      </c>
      <c r="C143" s="470" t="s">
        <v>297</v>
      </c>
      <c r="D143" s="470">
        <v>10</v>
      </c>
      <c r="E143" s="82">
        <v>10</v>
      </c>
      <c r="F143" s="682">
        <f t="shared" si="15"/>
        <v>1</v>
      </c>
      <c r="G143" s="139"/>
      <c r="H143" s="139"/>
      <c r="I143" s="139"/>
      <c r="J143" s="139"/>
      <c r="K143" s="687">
        <v>0.5</v>
      </c>
      <c r="L143" s="111"/>
    </row>
    <row r="144" spans="1:12" ht="26.4" x14ac:dyDescent="0.3">
      <c r="A144" s="755"/>
      <c r="B144" s="300" t="s">
        <v>293</v>
      </c>
      <c r="C144" s="470" t="s">
        <v>298</v>
      </c>
      <c r="D144" s="470">
        <v>30</v>
      </c>
      <c r="E144" s="82">
        <v>30</v>
      </c>
      <c r="F144" s="682">
        <f t="shared" si="15"/>
        <v>1</v>
      </c>
      <c r="G144" s="139"/>
      <c r="H144" s="139"/>
      <c r="I144" s="139"/>
      <c r="J144" s="139"/>
      <c r="K144" s="687">
        <v>0.5</v>
      </c>
      <c r="L144" s="111"/>
    </row>
    <row r="145" spans="1:12" ht="52.8" x14ac:dyDescent="0.3">
      <c r="A145" s="755"/>
      <c r="B145" s="552" t="s">
        <v>294</v>
      </c>
      <c r="C145" s="470" t="s">
        <v>299</v>
      </c>
      <c r="D145" s="470">
        <v>10</v>
      </c>
      <c r="E145" s="82">
        <v>10</v>
      </c>
      <c r="F145" s="682">
        <f t="shared" si="15"/>
        <v>1</v>
      </c>
      <c r="G145" s="139"/>
      <c r="H145" s="139"/>
      <c r="I145" s="139"/>
      <c r="J145" s="139"/>
      <c r="K145" s="687">
        <v>0.5</v>
      </c>
      <c r="L145" s="111"/>
    </row>
    <row r="146" spans="1:12" ht="15" thickBot="1" x14ac:dyDescent="0.35">
      <c r="A146" s="760"/>
      <c r="B146" s="607" t="s">
        <v>300</v>
      </c>
      <c r="C146" s="608"/>
      <c r="D146" s="668"/>
      <c r="E146" s="590"/>
      <c r="F146" s="682"/>
      <c r="G146" s="609"/>
      <c r="H146" s="609"/>
      <c r="I146" s="609"/>
      <c r="J146" s="581">
        <v>1</v>
      </c>
      <c r="K146" s="609"/>
      <c r="L146" s="610"/>
    </row>
    <row r="147" spans="1:12" ht="52.8" x14ac:dyDescent="0.3">
      <c r="A147" s="754">
        <v>9</v>
      </c>
      <c r="B147" s="307" t="s">
        <v>222</v>
      </c>
      <c r="C147" s="29"/>
      <c r="D147" s="29"/>
      <c r="E147" s="167"/>
      <c r="F147" s="77"/>
      <c r="G147" s="1"/>
      <c r="H147" s="1"/>
      <c r="I147" s="1"/>
      <c r="J147" s="669" t="s">
        <v>308</v>
      </c>
      <c r="K147" s="178"/>
      <c r="L147" s="462" t="s">
        <v>304</v>
      </c>
    </row>
    <row r="148" spans="1:12" x14ac:dyDescent="0.3">
      <c r="A148" s="755"/>
      <c r="B148" s="191" t="s">
        <v>19</v>
      </c>
      <c r="C148" s="181"/>
      <c r="D148" s="423">
        <f>SUM(D149:D150)</f>
        <v>1211.9000000000001</v>
      </c>
      <c r="E148" s="423">
        <f>SUM(E149:E150)</f>
        <v>1211.9000000000001</v>
      </c>
      <c r="F148" s="202">
        <f>E148/D148</f>
        <v>1</v>
      </c>
      <c r="G148" s="139"/>
      <c r="H148" s="139"/>
      <c r="I148" s="139"/>
      <c r="J148" s="139"/>
      <c r="K148" s="139"/>
      <c r="L148" s="111"/>
    </row>
    <row r="149" spans="1:12" x14ac:dyDescent="0.3">
      <c r="A149" s="755"/>
      <c r="B149" s="11" t="s">
        <v>74</v>
      </c>
      <c r="C149" s="181"/>
      <c r="D149" s="394">
        <v>1090.7</v>
      </c>
      <c r="E149" s="489">
        <v>1090.7</v>
      </c>
      <c r="F149" s="202">
        <f>E149/D149</f>
        <v>1</v>
      </c>
      <c r="G149" s="139"/>
      <c r="H149" s="139"/>
      <c r="I149" s="139"/>
      <c r="J149" s="139"/>
      <c r="K149" s="139"/>
      <c r="L149" s="111"/>
    </row>
    <row r="150" spans="1:12" x14ac:dyDescent="0.3">
      <c r="A150" s="755"/>
      <c r="B150" s="11" t="s">
        <v>35</v>
      </c>
      <c r="C150" s="181"/>
      <c r="D150" s="394">
        <v>121.2</v>
      </c>
      <c r="E150" s="489">
        <v>121.2</v>
      </c>
      <c r="F150" s="202">
        <f>E150/D150</f>
        <v>1</v>
      </c>
      <c r="G150" s="139"/>
      <c r="H150" s="139"/>
      <c r="I150" s="139"/>
      <c r="J150" s="139"/>
      <c r="K150" s="139"/>
      <c r="L150" s="111"/>
    </row>
    <row r="151" spans="1:12" x14ac:dyDescent="0.3">
      <c r="A151" s="755"/>
      <c r="B151" s="265" t="s">
        <v>223</v>
      </c>
      <c r="C151" s="216"/>
      <c r="D151" s="216"/>
      <c r="E151" s="273"/>
      <c r="F151" s="199"/>
      <c r="G151" s="218"/>
      <c r="H151" s="218"/>
      <c r="I151" s="218"/>
      <c r="J151" s="218"/>
      <c r="K151" s="460">
        <f>SUM(K152:K163)</f>
        <v>9.5</v>
      </c>
      <c r="L151" s="315"/>
    </row>
    <row r="152" spans="1:12" ht="58.8" customHeight="1" x14ac:dyDescent="0.3">
      <c r="A152" s="755"/>
      <c r="B152" s="455" t="s">
        <v>269</v>
      </c>
      <c r="C152" s="470" t="s">
        <v>30</v>
      </c>
      <c r="D152" s="470">
        <v>20</v>
      </c>
      <c r="E152" s="470">
        <v>41</v>
      </c>
      <c r="F152" s="220">
        <f>E152/D152</f>
        <v>2.0499999999999998</v>
      </c>
      <c r="G152" s="222"/>
      <c r="H152" s="222"/>
      <c r="I152" s="222"/>
      <c r="J152" s="222"/>
      <c r="K152" s="687">
        <v>1</v>
      </c>
      <c r="L152" s="431"/>
    </row>
    <row r="153" spans="1:12" ht="39.6" x14ac:dyDescent="0.3">
      <c r="A153" s="755"/>
      <c r="B153" s="455" t="s">
        <v>270</v>
      </c>
      <c r="C153" s="470" t="s">
        <v>30</v>
      </c>
      <c r="D153" s="470">
        <v>5300</v>
      </c>
      <c r="E153" s="470">
        <v>5314</v>
      </c>
      <c r="F153" s="220">
        <f t="shared" ref="F153:F163" si="16">E153/D153</f>
        <v>1.0026415094339622</v>
      </c>
      <c r="G153" s="222"/>
      <c r="H153" s="222"/>
      <c r="I153" s="222"/>
      <c r="J153" s="222"/>
      <c r="K153" s="687">
        <v>1</v>
      </c>
      <c r="L153" s="431"/>
    </row>
    <row r="154" spans="1:12" ht="39.6" x14ac:dyDescent="0.3">
      <c r="A154" s="755"/>
      <c r="B154" s="611" t="s">
        <v>271</v>
      </c>
      <c r="C154" s="470" t="s">
        <v>281</v>
      </c>
      <c r="D154" s="470">
        <v>259.22000000000003</v>
      </c>
      <c r="E154" s="470">
        <v>263.17</v>
      </c>
      <c r="F154" s="220">
        <f t="shared" si="16"/>
        <v>1.0152380217575805</v>
      </c>
      <c r="G154" s="222"/>
      <c r="H154" s="222"/>
      <c r="I154" s="222"/>
      <c r="J154" s="222"/>
      <c r="K154" s="687">
        <v>1</v>
      </c>
      <c r="L154" s="431"/>
    </row>
    <row r="155" spans="1:12" ht="26.4" x14ac:dyDescent="0.3">
      <c r="A155" s="755"/>
      <c r="B155" s="611" t="s">
        <v>272</v>
      </c>
      <c r="C155" s="470" t="s">
        <v>26</v>
      </c>
      <c r="D155" s="470">
        <v>0.53</v>
      </c>
      <c r="E155" s="470">
        <v>0.53</v>
      </c>
      <c r="F155" s="220">
        <f t="shared" si="16"/>
        <v>1</v>
      </c>
      <c r="G155" s="222"/>
      <c r="H155" s="222"/>
      <c r="I155" s="222"/>
      <c r="J155" s="222"/>
      <c r="K155" s="687">
        <v>0.5</v>
      </c>
      <c r="L155" s="431"/>
    </row>
    <row r="156" spans="1:12" ht="39.6" x14ac:dyDescent="0.3">
      <c r="A156" s="755"/>
      <c r="B156" s="611" t="s">
        <v>279</v>
      </c>
      <c r="C156" s="470" t="s">
        <v>262</v>
      </c>
      <c r="D156" s="470">
        <v>200</v>
      </c>
      <c r="E156" s="470">
        <v>200</v>
      </c>
      <c r="F156" s="220">
        <f t="shared" si="16"/>
        <v>1</v>
      </c>
      <c r="G156" s="222"/>
      <c r="H156" s="222"/>
      <c r="I156" s="222"/>
      <c r="J156" s="222"/>
      <c r="K156" s="687">
        <v>0.5</v>
      </c>
      <c r="L156" s="431"/>
    </row>
    <row r="157" spans="1:12" ht="39.6" x14ac:dyDescent="0.3">
      <c r="A157" s="755"/>
      <c r="B157" s="455" t="s">
        <v>273</v>
      </c>
      <c r="C157" s="612" t="s">
        <v>30</v>
      </c>
      <c r="D157" s="612">
        <v>25</v>
      </c>
      <c r="E157" s="470">
        <v>27</v>
      </c>
      <c r="F157" s="220">
        <f t="shared" si="16"/>
        <v>1.08</v>
      </c>
      <c r="G157" s="222"/>
      <c r="H157" s="222"/>
      <c r="I157" s="222"/>
      <c r="J157" s="222"/>
      <c r="K157" s="687">
        <v>1</v>
      </c>
      <c r="L157" s="431"/>
    </row>
    <row r="158" spans="1:12" ht="66" x14ac:dyDescent="0.3">
      <c r="A158" s="755"/>
      <c r="B158" s="455" t="s">
        <v>274</v>
      </c>
      <c r="C158" s="612" t="s">
        <v>30</v>
      </c>
      <c r="D158" s="612">
        <v>53</v>
      </c>
      <c r="E158" s="470">
        <v>56</v>
      </c>
      <c r="F158" s="220">
        <f t="shared" si="16"/>
        <v>1.0566037735849056</v>
      </c>
      <c r="G158" s="222"/>
      <c r="H158" s="222"/>
      <c r="I158" s="222"/>
      <c r="J158" s="222"/>
      <c r="K158" s="687">
        <v>1</v>
      </c>
      <c r="L158" s="431"/>
    </row>
    <row r="159" spans="1:12" ht="79.2" x14ac:dyDescent="0.3">
      <c r="A159" s="755"/>
      <c r="B159" s="613" t="s">
        <v>275</v>
      </c>
      <c r="C159" s="612" t="s">
        <v>30</v>
      </c>
      <c r="D159" s="612">
        <v>100</v>
      </c>
      <c r="E159" s="470">
        <v>105</v>
      </c>
      <c r="F159" s="220">
        <f t="shared" si="16"/>
        <v>1.05</v>
      </c>
      <c r="G159" s="222"/>
      <c r="H159" s="222"/>
      <c r="I159" s="222"/>
      <c r="J159" s="222"/>
      <c r="K159" s="687">
        <v>1</v>
      </c>
      <c r="L159" s="431"/>
    </row>
    <row r="160" spans="1:12" ht="105.6" customHeight="1" x14ac:dyDescent="0.3">
      <c r="A160" s="755"/>
      <c r="B160" s="614" t="s">
        <v>276</v>
      </c>
      <c r="C160" s="470" t="s">
        <v>64</v>
      </c>
      <c r="D160" s="470">
        <v>5</v>
      </c>
      <c r="E160" s="470">
        <v>10</v>
      </c>
      <c r="F160" s="220">
        <f t="shared" si="16"/>
        <v>2</v>
      </c>
      <c r="G160" s="222"/>
      <c r="H160" s="222"/>
      <c r="I160" s="222"/>
      <c r="J160" s="222"/>
      <c r="K160" s="687">
        <v>1</v>
      </c>
      <c r="L160" s="431"/>
    </row>
    <row r="161" spans="1:12" ht="66" x14ac:dyDescent="0.3">
      <c r="A161" s="755"/>
      <c r="B161" s="614" t="s">
        <v>277</v>
      </c>
      <c r="C161" s="470" t="s">
        <v>30</v>
      </c>
      <c r="D161" s="470">
        <v>800</v>
      </c>
      <c r="E161" s="470">
        <v>800</v>
      </c>
      <c r="F161" s="220">
        <f t="shared" si="16"/>
        <v>1</v>
      </c>
      <c r="G161" s="222"/>
      <c r="H161" s="222"/>
      <c r="I161" s="222"/>
      <c r="J161" s="222"/>
      <c r="K161" s="687">
        <v>0.5</v>
      </c>
      <c r="L161" s="431"/>
    </row>
    <row r="162" spans="1:12" ht="66" x14ac:dyDescent="0.3">
      <c r="A162" s="755"/>
      <c r="B162" s="455" t="s">
        <v>278</v>
      </c>
      <c r="C162" s="470" t="s">
        <v>64</v>
      </c>
      <c r="D162" s="470">
        <v>4</v>
      </c>
      <c r="E162" s="470">
        <v>4</v>
      </c>
      <c r="F162" s="220">
        <f t="shared" si="16"/>
        <v>1</v>
      </c>
      <c r="G162" s="222"/>
      <c r="H162" s="222"/>
      <c r="I162" s="222"/>
      <c r="J162" s="222"/>
      <c r="K162" s="687">
        <v>0.5</v>
      </c>
      <c r="L162" s="431"/>
    </row>
    <row r="163" spans="1:12" ht="39.6" x14ac:dyDescent="0.3">
      <c r="A163" s="755"/>
      <c r="B163" s="455" t="s">
        <v>280</v>
      </c>
      <c r="C163" s="470" t="s">
        <v>26</v>
      </c>
      <c r="D163" s="470">
        <v>100</v>
      </c>
      <c r="E163" s="470">
        <v>100</v>
      </c>
      <c r="F163" s="220">
        <f t="shared" si="16"/>
        <v>1</v>
      </c>
      <c r="G163" s="139"/>
      <c r="H163" s="139"/>
      <c r="I163" s="139"/>
      <c r="J163" s="139"/>
      <c r="K163" s="687">
        <v>0.5</v>
      </c>
      <c r="L163" s="111"/>
    </row>
    <row r="164" spans="1:12" ht="15" thickBot="1" x14ac:dyDescent="0.35">
      <c r="A164" s="760"/>
      <c r="B164" s="615" t="s">
        <v>300</v>
      </c>
      <c r="C164" s="608"/>
      <c r="D164" s="608"/>
      <c r="E164" s="608"/>
      <c r="F164" s="581"/>
      <c r="G164" s="609"/>
      <c r="H164" s="609"/>
      <c r="I164" s="609"/>
      <c r="J164" s="689">
        <f>(0.3*F156+0.3*F157+0.1*F158+0.1*F159+0.1*F161+0.1*F162)/F148</f>
        <v>1.0346603773584906</v>
      </c>
      <c r="K164" s="609"/>
      <c r="L164" s="610"/>
    </row>
    <row r="165" spans="1:12" ht="79.2" x14ac:dyDescent="0.3">
      <c r="A165" s="767">
        <v>10</v>
      </c>
      <c r="B165" s="25" t="s">
        <v>108</v>
      </c>
      <c r="C165" s="186"/>
      <c r="D165" s="65"/>
      <c r="E165" s="2"/>
      <c r="F165" s="77"/>
      <c r="G165" s="178"/>
      <c r="H165" s="178"/>
      <c r="I165" s="178"/>
      <c r="J165" s="178"/>
      <c r="K165" s="178"/>
      <c r="L165" s="284"/>
    </row>
    <row r="166" spans="1:12" x14ac:dyDescent="0.3">
      <c r="A166" s="768"/>
      <c r="B166" s="285" t="s">
        <v>109</v>
      </c>
      <c r="C166" s="192" t="s">
        <v>20</v>
      </c>
      <c r="D166" s="456">
        <f>SUM(D167:D169)</f>
        <v>156918.39999999999</v>
      </c>
      <c r="E166" s="456">
        <f>SUM(E167:E169)</f>
        <v>153568.19999999998</v>
      </c>
      <c r="F166" s="201">
        <f>E166/D166</f>
        <v>0.97865004996227334</v>
      </c>
      <c r="G166" s="195"/>
      <c r="H166" s="195"/>
      <c r="I166" s="195"/>
      <c r="J166" s="195"/>
      <c r="K166" s="195"/>
      <c r="L166" s="254"/>
    </row>
    <row r="167" spans="1:12" x14ac:dyDescent="0.3">
      <c r="A167" s="768"/>
      <c r="B167" s="286" t="s">
        <v>111</v>
      </c>
      <c r="C167" s="181" t="s">
        <v>49</v>
      </c>
      <c r="D167" s="457">
        <v>24688.1</v>
      </c>
      <c r="E167" s="457">
        <v>23028.799999999999</v>
      </c>
      <c r="F167" s="202">
        <f>E167/D167</f>
        <v>0.93278948157209352</v>
      </c>
      <c r="G167" s="182"/>
      <c r="H167" s="182"/>
      <c r="I167" s="182"/>
      <c r="J167" s="182"/>
      <c r="K167" s="182"/>
      <c r="L167" s="187"/>
    </row>
    <row r="168" spans="1:12" x14ac:dyDescent="0.3">
      <c r="A168" s="768"/>
      <c r="B168" s="286" t="s">
        <v>112</v>
      </c>
      <c r="C168" s="181" t="s">
        <v>20</v>
      </c>
      <c r="D168" s="457">
        <v>129911.4</v>
      </c>
      <c r="E168" s="457">
        <v>128233.60000000001</v>
      </c>
      <c r="F168" s="202">
        <f>E168/D168</f>
        <v>0.98708504411468134</v>
      </c>
      <c r="G168" s="182"/>
      <c r="H168" s="182"/>
      <c r="I168" s="182"/>
      <c r="J168" s="182"/>
      <c r="K168" s="182"/>
      <c r="L168" s="187"/>
    </row>
    <row r="169" spans="1:12" x14ac:dyDescent="0.3">
      <c r="A169" s="768"/>
      <c r="B169" s="147" t="s">
        <v>113</v>
      </c>
      <c r="C169" s="181" t="s">
        <v>20</v>
      </c>
      <c r="D169" s="457">
        <v>2318.9</v>
      </c>
      <c r="E169" s="457">
        <v>2305.8000000000002</v>
      </c>
      <c r="F169" s="202">
        <f>E169/D169</f>
        <v>0.99435076976152492</v>
      </c>
      <c r="G169" s="182"/>
      <c r="H169" s="182"/>
      <c r="I169" s="182"/>
      <c r="J169" s="182"/>
      <c r="K169" s="182"/>
      <c r="L169" s="187"/>
    </row>
    <row r="170" spans="1:12" ht="15" thickBot="1" x14ac:dyDescent="0.35">
      <c r="A170" s="768"/>
      <c r="B170" s="233" t="s">
        <v>75</v>
      </c>
      <c r="C170" s="197"/>
      <c r="D170" s="198"/>
      <c r="E170" s="198"/>
      <c r="F170" s="199"/>
      <c r="G170" s="530">
        <v>4</v>
      </c>
      <c r="H170" s="530">
        <v>4</v>
      </c>
      <c r="I170" s="530">
        <v>0</v>
      </c>
      <c r="J170" s="200"/>
      <c r="K170" s="530">
        <f>SUM(K171:K174)</f>
        <v>2</v>
      </c>
      <c r="L170" s="234"/>
    </row>
    <row r="171" spans="1:12" ht="52.8" x14ac:dyDescent="0.3">
      <c r="A171" s="768"/>
      <c r="B171" s="14" t="s">
        <v>114</v>
      </c>
      <c r="C171" s="13" t="s">
        <v>30</v>
      </c>
      <c r="D171" s="226">
        <v>490</v>
      </c>
      <c r="E171" s="565">
        <v>526</v>
      </c>
      <c r="F171" s="220">
        <f>E171/D171</f>
        <v>1.073469387755102</v>
      </c>
      <c r="G171" s="182"/>
      <c r="H171" s="182"/>
      <c r="I171" s="182"/>
      <c r="J171" s="669" t="s">
        <v>308</v>
      </c>
      <c r="K171" s="669">
        <v>1</v>
      </c>
      <c r="L171" s="462" t="s">
        <v>304</v>
      </c>
    </row>
    <row r="172" spans="1:12" ht="39.6" x14ac:dyDescent="0.3">
      <c r="A172" s="768"/>
      <c r="B172" s="14" t="s">
        <v>115</v>
      </c>
      <c r="C172" s="13" t="s">
        <v>32</v>
      </c>
      <c r="D172" s="226">
        <v>560</v>
      </c>
      <c r="E172" s="565">
        <v>555</v>
      </c>
      <c r="F172" s="220">
        <f t="shared" ref="F172:F174" si="17">E172/D172</f>
        <v>0.9910714285714286</v>
      </c>
      <c r="G172" s="182"/>
      <c r="H172" s="182"/>
      <c r="I172" s="182"/>
      <c r="J172" s="182"/>
      <c r="K172" s="487">
        <v>-0.5</v>
      </c>
      <c r="L172" s="183"/>
    </row>
    <row r="173" spans="1:12" ht="26.4" x14ac:dyDescent="0.3">
      <c r="A173" s="768"/>
      <c r="B173" s="14" t="s">
        <v>116</v>
      </c>
      <c r="C173" s="13" t="s">
        <v>30</v>
      </c>
      <c r="D173" s="82">
        <v>6000</v>
      </c>
      <c r="E173" s="566">
        <v>6694</v>
      </c>
      <c r="F173" s="220">
        <f t="shared" si="17"/>
        <v>1.1156666666666666</v>
      </c>
      <c r="G173" s="182"/>
      <c r="H173" s="182"/>
      <c r="I173" s="182"/>
      <c r="J173" s="182"/>
      <c r="K173" s="487">
        <v>1</v>
      </c>
      <c r="L173" s="183"/>
    </row>
    <row r="174" spans="1:12" ht="79.2" x14ac:dyDescent="0.3">
      <c r="A174" s="768"/>
      <c r="B174" s="14" t="s">
        <v>117</v>
      </c>
      <c r="C174" s="13" t="s">
        <v>118</v>
      </c>
      <c r="D174" s="82">
        <v>4</v>
      </c>
      <c r="E174" s="566">
        <v>4</v>
      </c>
      <c r="F174" s="220">
        <f t="shared" si="17"/>
        <v>1</v>
      </c>
      <c r="G174" s="182"/>
      <c r="H174" s="182"/>
      <c r="I174" s="182"/>
      <c r="J174" s="182"/>
      <c r="K174" s="487">
        <v>0.5</v>
      </c>
      <c r="L174" s="183"/>
    </row>
    <row r="175" spans="1:12" ht="15" thickBot="1" x14ac:dyDescent="0.35">
      <c r="A175" s="769"/>
      <c r="B175" s="570" t="s">
        <v>300</v>
      </c>
      <c r="C175" s="571"/>
      <c r="D175" s="590"/>
      <c r="E175" s="590"/>
      <c r="F175" s="594"/>
      <c r="G175" s="574"/>
      <c r="H175" s="574"/>
      <c r="I175" s="574"/>
      <c r="J175" s="583">
        <f>(0.3*F171+0.3*F172+0.4*F173)/F166</f>
        <v>1.0888763676103685</v>
      </c>
      <c r="K175" s="574"/>
      <c r="L175" s="598"/>
    </row>
    <row r="176" spans="1:12" ht="79.2" x14ac:dyDescent="0.3">
      <c r="A176" s="767">
        <v>11</v>
      </c>
      <c r="B176" s="25" t="s">
        <v>119</v>
      </c>
      <c r="C176" s="186"/>
      <c r="D176" s="65"/>
      <c r="E176" s="2"/>
      <c r="F176" s="77"/>
      <c r="G176" s="178"/>
      <c r="H176" s="178"/>
      <c r="I176" s="178"/>
      <c r="J176" s="669" t="s">
        <v>309</v>
      </c>
      <c r="K176" s="178"/>
      <c r="L176" s="462" t="s">
        <v>304</v>
      </c>
    </row>
    <row r="177" spans="1:12" ht="26.4" x14ac:dyDescent="0.3">
      <c r="A177" s="768"/>
      <c r="B177" s="191" t="s">
        <v>120</v>
      </c>
      <c r="C177" s="192" t="s">
        <v>20</v>
      </c>
      <c r="D177" s="194">
        <v>393.7</v>
      </c>
      <c r="E177" s="194">
        <v>393</v>
      </c>
      <c r="F177" s="201">
        <f>E177/D177</f>
        <v>0.9982219964439929</v>
      </c>
      <c r="G177" s="195"/>
      <c r="H177" s="195"/>
      <c r="I177" s="195"/>
      <c r="J177" s="195"/>
      <c r="K177" s="195"/>
      <c r="L177" s="254"/>
    </row>
    <row r="178" spans="1:12" x14ac:dyDescent="0.3">
      <c r="A178" s="768"/>
      <c r="B178" s="233" t="s">
        <v>75</v>
      </c>
      <c r="C178" s="197"/>
      <c r="D178" s="198"/>
      <c r="E178" s="198"/>
      <c r="F178" s="199"/>
      <c r="G178" s="458">
        <v>4</v>
      </c>
      <c r="H178" s="458">
        <v>4</v>
      </c>
      <c r="I178" s="458">
        <v>0</v>
      </c>
      <c r="J178" s="458"/>
      <c r="K178" s="458">
        <f>SUM(K179:K182)</f>
        <v>2</v>
      </c>
      <c r="L178" s="459"/>
    </row>
    <row r="179" spans="1:12" ht="39.6" x14ac:dyDescent="0.3">
      <c r="A179" s="768"/>
      <c r="B179" s="14" t="s">
        <v>121</v>
      </c>
      <c r="C179" s="13" t="s">
        <v>218</v>
      </c>
      <c r="D179" s="219">
        <v>49</v>
      </c>
      <c r="E179" s="219">
        <v>49</v>
      </c>
      <c r="F179" s="220">
        <f>E179/D179</f>
        <v>1</v>
      </c>
      <c r="G179" s="182"/>
      <c r="H179" s="182"/>
      <c r="I179" s="182"/>
      <c r="J179" s="182"/>
      <c r="K179" s="487">
        <v>0.5</v>
      </c>
      <c r="L179" s="183"/>
    </row>
    <row r="180" spans="1:12" ht="39.6" x14ac:dyDescent="0.3">
      <c r="A180" s="768"/>
      <c r="B180" s="64" t="s">
        <v>122</v>
      </c>
      <c r="C180" s="45" t="s">
        <v>211</v>
      </c>
      <c r="D180" s="219">
        <v>47</v>
      </c>
      <c r="E180" s="219">
        <v>47</v>
      </c>
      <c r="F180" s="220">
        <f>E180/D180</f>
        <v>1</v>
      </c>
      <c r="G180" s="182"/>
      <c r="H180" s="182"/>
      <c r="I180" s="182"/>
      <c r="J180" s="182"/>
      <c r="K180" s="487">
        <v>0.5</v>
      </c>
      <c r="L180" s="183"/>
    </row>
    <row r="181" spans="1:12" ht="52.8" x14ac:dyDescent="0.3">
      <c r="A181" s="768"/>
      <c r="B181" s="64" t="s">
        <v>124</v>
      </c>
      <c r="C181" s="45" t="s">
        <v>123</v>
      </c>
      <c r="D181" s="219">
        <v>1</v>
      </c>
      <c r="E181" s="219">
        <v>4</v>
      </c>
      <c r="F181" s="220">
        <f>E181/D181</f>
        <v>4</v>
      </c>
      <c r="G181" s="182"/>
      <c r="H181" s="182"/>
      <c r="I181" s="182"/>
      <c r="J181" s="182"/>
      <c r="K181" s="487">
        <v>1</v>
      </c>
      <c r="L181" s="183"/>
    </row>
    <row r="182" spans="1:12" ht="52.8" x14ac:dyDescent="0.3">
      <c r="A182" s="768"/>
      <c r="B182" s="64" t="s">
        <v>125</v>
      </c>
      <c r="C182" s="45" t="s">
        <v>123</v>
      </c>
      <c r="D182" s="219">
        <v>0</v>
      </c>
      <c r="E182" s="219">
        <v>0</v>
      </c>
      <c r="F182" s="220">
        <v>0</v>
      </c>
      <c r="G182" s="182"/>
      <c r="H182" s="182"/>
      <c r="I182" s="182"/>
      <c r="J182" s="182"/>
      <c r="K182" s="487">
        <v>0</v>
      </c>
      <c r="L182" s="183"/>
    </row>
    <row r="183" spans="1:12" ht="15" thickBot="1" x14ac:dyDescent="0.35">
      <c r="A183" s="769"/>
      <c r="B183" s="616" t="s">
        <v>300</v>
      </c>
      <c r="C183" s="589"/>
      <c r="D183" s="580"/>
      <c r="E183" s="580"/>
      <c r="F183" s="581"/>
      <c r="G183" s="574"/>
      <c r="H183" s="574"/>
      <c r="I183" s="574"/>
      <c r="J183" s="617">
        <v>1</v>
      </c>
      <c r="K183" s="600"/>
      <c r="L183" s="598"/>
    </row>
    <row r="184" spans="1:12" ht="66" x14ac:dyDescent="0.3">
      <c r="A184" s="718">
        <v>12</v>
      </c>
      <c r="B184" s="25" t="s">
        <v>126</v>
      </c>
      <c r="C184" s="186"/>
      <c r="D184" s="65"/>
      <c r="E184" s="2"/>
      <c r="F184" s="77"/>
      <c r="G184" s="178"/>
      <c r="H184" s="178"/>
      <c r="I184" s="178"/>
      <c r="J184" s="669" t="s">
        <v>308</v>
      </c>
      <c r="K184" s="178"/>
      <c r="L184" s="462" t="s">
        <v>304</v>
      </c>
    </row>
    <row r="185" spans="1:12" ht="26.4" x14ac:dyDescent="0.3">
      <c r="A185" s="719"/>
      <c r="B185" s="191" t="s">
        <v>120</v>
      </c>
      <c r="C185" s="192" t="s">
        <v>20</v>
      </c>
      <c r="D185" s="252">
        <v>590.70000000000005</v>
      </c>
      <c r="E185" s="252">
        <v>585.42999999999995</v>
      </c>
      <c r="F185" s="201">
        <f>E185/D185</f>
        <v>0.99107838158117467</v>
      </c>
      <c r="G185" s="195"/>
      <c r="H185" s="195"/>
      <c r="I185" s="195"/>
      <c r="J185" s="195"/>
      <c r="K185" s="195"/>
      <c r="L185" s="272"/>
    </row>
    <row r="186" spans="1:12" x14ac:dyDescent="0.3">
      <c r="A186" s="719"/>
      <c r="B186" s="196" t="s">
        <v>24</v>
      </c>
      <c r="C186" s="216"/>
      <c r="D186" s="216"/>
      <c r="E186" s="216"/>
      <c r="F186" s="199"/>
      <c r="G186" s="458">
        <v>6</v>
      </c>
      <c r="H186" s="458">
        <v>6</v>
      </c>
      <c r="I186" s="458">
        <v>0</v>
      </c>
      <c r="J186" s="458"/>
      <c r="K186" s="458">
        <f>SUM(K187:K193)</f>
        <v>3.5</v>
      </c>
      <c r="L186" s="459"/>
    </row>
    <row r="187" spans="1:12" ht="39.6" x14ac:dyDescent="0.3">
      <c r="A187" s="719"/>
      <c r="B187" s="12" t="s">
        <v>127</v>
      </c>
      <c r="C187" s="13" t="s">
        <v>26</v>
      </c>
      <c r="D187" s="82"/>
      <c r="E187" s="82"/>
      <c r="F187" s="134"/>
      <c r="G187" s="182"/>
      <c r="H187" s="182"/>
      <c r="I187" s="182"/>
      <c r="J187" s="182"/>
      <c r="K187" s="487"/>
      <c r="L187" s="183"/>
    </row>
    <row r="188" spans="1:12" x14ac:dyDescent="0.3">
      <c r="A188" s="719"/>
      <c r="B188" s="83" t="s">
        <v>212</v>
      </c>
      <c r="C188" s="13" t="s">
        <v>26</v>
      </c>
      <c r="D188" s="239">
        <v>-5</v>
      </c>
      <c r="E188" s="5">
        <v>-11</v>
      </c>
      <c r="F188" s="202">
        <f t="shared" ref="F188:F193" si="18">E188/D188</f>
        <v>2.2000000000000002</v>
      </c>
      <c r="G188" s="182"/>
      <c r="H188" s="182"/>
      <c r="I188" s="182"/>
      <c r="J188" s="182"/>
      <c r="K188" s="487">
        <v>1</v>
      </c>
      <c r="L188" s="183"/>
    </row>
    <row r="189" spans="1:12" x14ac:dyDescent="0.3">
      <c r="A189" s="719"/>
      <c r="B189" s="83" t="s">
        <v>213</v>
      </c>
      <c r="C189" s="13" t="s">
        <v>26</v>
      </c>
      <c r="D189" s="239">
        <v>-10</v>
      </c>
      <c r="E189" s="5">
        <v>-17</v>
      </c>
      <c r="F189" s="202">
        <f t="shared" si="18"/>
        <v>1.7</v>
      </c>
      <c r="G189" s="182"/>
      <c r="H189" s="182"/>
      <c r="I189" s="182"/>
      <c r="J189" s="182"/>
      <c r="K189" s="487">
        <v>1</v>
      </c>
      <c r="L189" s="183"/>
    </row>
    <row r="190" spans="1:12" x14ac:dyDescent="0.3">
      <c r="A190" s="719"/>
      <c r="B190" s="83" t="s">
        <v>214</v>
      </c>
      <c r="C190" s="13" t="s">
        <v>26</v>
      </c>
      <c r="D190" s="239">
        <v>-5</v>
      </c>
      <c r="E190" s="5">
        <v>-5</v>
      </c>
      <c r="F190" s="202">
        <f t="shared" si="18"/>
        <v>1</v>
      </c>
      <c r="G190" s="182"/>
      <c r="H190" s="182"/>
      <c r="I190" s="182"/>
      <c r="J190" s="182"/>
      <c r="K190" s="487">
        <v>0.5</v>
      </c>
      <c r="L190" s="183"/>
    </row>
    <row r="191" spans="1:12" x14ac:dyDescent="0.3">
      <c r="A191" s="719"/>
      <c r="B191" s="83" t="s">
        <v>215</v>
      </c>
      <c r="C191" s="13" t="s">
        <v>26</v>
      </c>
      <c r="D191" s="239">
        <v>-5</v>
      </c>
      <c r="E191" s="5">
        <v>-2.2999999999999998</v>
      </c>
      <c r="F191" s="202">
        <f t="shared" si="18"/>
        <v>0.45999999999999996</v>
      </c>
      <c r="G191" s="182"/>
      <c r="H191" s="182"/>
      <c r="I191" s="182"/>
      <c r="J191" s="182"/>
      <c r="K191" s="487">
        <v>-1</v>
      </c>
      <c r="L191" s="183"/>
    </row>
    <row r="192" spans="1:12" x14ac:dyDescent="0.3">
      <c r="A192" s="719"/>
      <c r="B192" s="83" t="s">
        <v>216</v>
      </c>
      <c r="C192" s="13" t="s">
        <v>26</v>
      </c>
      <c r="D192" s="240">
        <v>-5</v>
      </c>
      <c r="E192" s="5">
        <v>-27.9</v>
      </c>
      <c r="F192" s="202">
        <f t="shared" si="18"/>
        <v>5.58</v>
      </c>
      <c r="G192" s="182"/>
      <c r="H192" s="182"/>
      <c r="I192" s="182"/>
      <c r="J192" s="182"/>
      <c r="K192" s="487">
        <v>1</v>
      </c>
      <c r="L192" s="183"/>
    </row>
    <row r="193" spans="1:12" x14ac:dyDescent="0.3">
      <c r="A193" s="719"/>
      <c r="B193" s="618" t="s">
        <v>217</v>
      </c>
      <c r="C193" s="237" t="s">
        <v>26</v>
      </c>
      <c r="D193" s="619">
        <v>-5</v>
      </c>
      <c r="E193" s="237">
        <v>48.6</v>
      </c>
      <c r="F193" s="202">
        <f t="shared" si="18"/>
        <v>-9.7200000000000006</v>
      </c>
      <c r="G193" s="238"/>
      <c r="H193" s="238"/>
      <c r="I193" s="238"/>
      <c r="J193" s="238"/>
      <c r="K193" s="620">
        <v>1</v>
      </c>
      <c r="L193" s="291"/>
    </row>
    <row r="194" spans="1:12" ht="15" thickBot="1" x14ac:dyDescent="0.35">
      <c r="A194" s="720"/>
      <c r="B194" s="621" t="s">
        <v>300</v>
      </c>
      <c r="C194" s="622"/>
      <c r="D194" s="623"/>
      <c r="E194" s="622"/>
      <c r="F194" s="594"/>
      <c r="G194" s="624"/>
      <c r="H194" s="624"/>
      <c r="I194" s="624"/>
      <c r="J194" s="690">
        <v>1.08</v>
      </c>
      <c r="K194" s="625"/>
      <c r="L194" s="329"/>
    </row>
    <row r="195" spans="1:12" x14ac:dyDescent="0.3">
      <c r="A195" s="731" t="s">
        <v>128</v>
      </c>
      <c r="B195" s="448" t="s">
        <v>129</v>
      </c>
      <c r="C195" s="317"/>
      <c r="D195" s="319"/>
      <c r="E195" s="318"/>
      <c r="F195" s="258"/>
      <c r="G195" s="72"/>
      <c r="H195" s="72"/>
      <c r="I195" s="72"/>
      <c r="J195" s="518"/>
      <c r="K195" s="518"/>
      <c r="L195" s="449"/>
    </row>
    <row r="196" spans="1:12" x14ac:dyDescent="0.3">
      <c r="A196" s="731"/>
      <c r="B196" s="191" t="s">
        <v>19</v>
      </c>
      <c r="C196" s="192" t="s">
        <v>20</v>
      </c>
      <c r="D196" s="398">
        <f t="shared" ref="D196:E196" si="19">SUM(D197:D200)</f>
        <v>6521.14</v>
      </c>
      <c r="E196" s="398">
        <f t="shared" si="19"/>
        <v>6275.15</v>
      </c>
      <c r="F196" s="201">
        <f>E196/D196</f>
        <v>0.96227806794517512</v>
      </c>
      <c r="G196" s="222"/>
      <c r="H196" s="222"/>
      <c r="I196" s="222"/>
      <c r="J196" s="511"/>
      <c r="K196" s="511"/>
      <c r="L196" s="431"/>
    </row>
    <row r="197" spans="1:12" x14ac:dyDescent="0.3">
      <c r="A197" s="731"/>
      <c r="B197" s="11" t="s">
        <v>21</v>
      </c>
      <c r="C197" s="181" t="s">
        <v>20</v>
      </c>
      <c r="D197" s="399">
        <f t="shared" ref="D197:E197" si="20">D215</f>
        <v>102</v>
      </c>
      <c r="E197" s="399">
        <f t="shared" si="20"/>
        <v>102</v>
      </c>
      <c r="F197" s="202">
        <f>E197/D197</f>
        <v>1</v>
      </c>
      <c r="G197" s="139"/>
      <c r="H197" s="139"/>
      <c r="I197" s="139"/>
      <c r="J197" s="512"/>
      <c r="K197" s="512"/>
      <c r="L197" s="111"/>
    </row>
    <row r="198" spans="1:12" x14ac:dyDescent="0.3">
      <c r="A198" s="731"/>
      <c r="B198" s="11" t="s">
        <v>74</v>
      </c>
      <c r="C198" s="181" t="s">
        <v>20</v>
      </c>
      <c r="D198" s="399">
        <f>D204+D216</f>
        <v>557.54</v>
      </c>
      <c r="E198" s="399">
        <f>E204+E216</f>
        <v>546.54</v>
      </c>
      <c r="F198" s="202">
        <f>E198/D198</f>
        <v>0.98027047386734589</v>
      </c>
      <c r="G198" s="139"/>
      <c r="H198" s="139"/>
      <c r="I198" s="139"/>
      <c r="J198" s="512"/>
      <c r="K198" s="512"/>
      <c r="L198" s="111"/>
    </row>
    <row r="199" spans="1:12" x14ac:dyDescent="0.3">
      <c r="A199" s="731"/>
      <c r="B199" s="11" t="s">
        <v>35</v>
      </c>
      <c r="C199" s="181" t="s">
        <v>20</v>
      </c>
      <c r="D199" s="399">
        <f>D205+D217</f>
        <v>4858.6000000000004</v>
      </c>
      <c r="E199" s="399">
        <f>E205+E217</f>
        <v>4628.6099999999997</v>
      </c>
      <c r="F199" s="202">
        <f>E199/D199</f>
        <v>0.95266331865146325</v>
      </c>
      <c r="G199" s="139"/>
      <c r="H199" s="139"/>
      <c r="I199" s="139"/>
      <c r="J199" s="512"/>
      <c r="K199" s="512"/>
      <c r="L199" s="111"/>
    </row>
    <row r="200" spans="1:12" x14ac:dyDescent="0.3">
      <c r="A200" s="731"/>
      <c r="B200" s="11" t="s">
        <v>130</v>
      </c>
      <c r="C200" s="181" t="s">
        <v>20</v>
      </c>
      <c r="D200" s="399">
        <f t="shared" ref="D200:E200" si="21">D206</f>
        <v>1003</v>
      </c>
      <c r="E200" s="399">
        <f t="shared" si="21"/>
        <v>998</v>
      </c>
      <c r="F200" s="202">
        <f>E200/D200</f>
        <v>0.99501495513459626</v>
      </c>
      <c r="G200" s="139"/>
      <c r="H200" s="139"/>
      <c r="I200" s="139"/>
      <c r="J200" s="512"/>
      <c r="K200" s="512"/>
      <c r="L200" s="111"/>
    </row>
    <row r="201" spans="1:12" ht="40.200000000000003" thickBot="1" x14ac:dyDescent="0.35">
      <c r="A201" s="732"/>
      <c r="B201" s="30" t="s">
        <v>36</v>
      </c>
      <c r="C201" s="184" t="s">
        <v>26</v>
      </c>
      <c r="D201" s="114"/>
      <c r="E201" s="86"/>
      <c r="F201" s="249"/>
      <c r="G201" s="179"/>
      <c r="H201" s="179"/>
      <c r="I201" s="179"/>
      <c r="J201" s="517"/>
      <c r="K201" s="517"/>
      <c r="L201" s="176"/>
    </row>
    <row r="202" spans="1:12" ht="92.4" x14ac:dyDescent="0.3">
      <c r="A202" s="718">
        <v>13</v>
      </c>
      <c r="B202" s="25" t="s">
        <v>131</v>
      </c>
      <c r="C202" s="186"/>
      <c r="D202" s="241"/>
      <c r="E202" s="2"/>
      <c r="F202" s="248"/>
      <c r="G202" s="178"/>
      <c r="H202" s="178"/>
      <c r="I202" s="178"/>
      <c r="J202" s="669" t="s">
        <v>310</v>
      </c>
      <c r="K202" s="178"/>
      <c r="L202" s="462" t="s">
        <v>304</v>
      </c>
    </row>
    <row r="203" spans="1:12" x14ac:dyDescent="0.3">
      <c r="A203" s="719"/>
      <c r="B203" s="191" t="s">
        <v>132</v>
      </c>
      <c r="C203" s="214" t="s">
        <v>20</v>
      </c>
      <c r="D203" s="492">
        <f t="shared" ref="D203:E203" si="22">SUM(D204:D206)</f>
        <v>1455.54</v>
      </c>
      <c r="E203" s="492">
        <f t="shared" si="22"/>
        <v>1382.75</v>
      </c>
      <c r="F203" s="201">
        <f>E203/D203</f>
        <v>0.94999106860684013</v>
      </c>
      <c r="G203" s="182"/>
      <c r="H203" s="182"/>
      <c r="I203" s="182"/>
      <c r="J203" s="182"/>
      <c r="K203" s="182"/>
      <c r="L203" s="187"/>
    </row>
    <row r="204" spans="1:12" x14ac:dyDescent="0.3">
      <c r="A204" s="719"/>
      <c r="B204" s="10" t="s">
        <v>74</v>
      </c>
      <c r="C204" s="212" t="s">
        <v>20</v>
      </c>
      <c r="D204" s="493">
        <v>252.54</v>
      </c>
      <c r="E204" s="493">
        <v>252.54</v>
      </c>
      <c r="F204" s="202">
        <f>E204/D204</f>
        <v>1</v>
      </c>
      <c r="G204" s="182"/>
      <c r="H204" s="182"/>
      <c r="I204" s="182"/>
      <c r="J204" s="182"/>
      <c r="K204" s="182"/>
      <c r="L204" s="187"/>
    </row>
    <row r="205" spans="1:12" x14ac:dyDescent="0.3">
      <c r="A205" s="719"/>
      <c r="B205" s="10" t="s">
        <v>23</v>
      </c>
      <c r="C205" s="212" t="s">
        <v>20</v>
      </c>
      <c r="D205" s="493">
        <v>200</v>
      </c>
      <c r="E205" s="493">
        <v>132.21</v>
      </c>
      <c r="F205" s="202">
        <f>E205/D205</f>
        <v>0.66105000000000003</v>
      </c>
      <c r="G205" s="182"/>
      <c r="H205" s="182"/>
      <c r="I205" s="182"/>
      <c r="J205" s="182"/>
      <c r="K205" s="182"/>
      <c r="L205" s="187"/>
    </row>
    <row r="206" spans="1:12" x14ac:dyDescent="0.3">
      <c r="A206" s="719"/>
      <c r="B206" s="10" t="s">
        <v>130</v>
      </c>
      <c r="C206" s="212" t="s">
        <v>20</v>
      </c>
      <c r="D206" s="493">
        <v>1003</v>
      </c>
      <c r="E206" s="493">
        <v>998</v>
      </c>
      <c r="F206" s="202">
        <f>E206/D206</f>
        <v>0.99501495513459626</v>
      </c>
      <c r="G206" s="182"/>
      <c r="H206" s="182"/>
      <c r="I206" s="182"/>
      <c r="J206" s="182"/>
      <c r="K206" s="182"/>
      <c r="L206" s="59"/>
    </row>
    <row r="207" spans="1:12" x14ac:dyDescent="0.3">
      <c r="A207" s="719"/>
      <c r="B207" s="196" t="s">
        <v>24</v>
      </c>
      <c r="C207" s="197"/>
      <c r="D207" s="247"/>
      <c r="E207" s="198"/>
      <c r="F207" s="409"/>
      <c r="G207" s="458">
        <v>4</v>
      </c>
      <c r="H207" s="458">
        <v>4</v>
      </c>
      <c r="I207" s="458">
        <v>0</v>
      </c>
      <c r="J207" s="458"/>
      <c r="K207" s="458">
        <f>SUM(K208:K211)</f>
        <v>3.5</v>
      </c>
      <c r="L207" s="234"/>
    </row>
    <row r="208" spans="1:12" ht="26.4" x14ac:dyDescent="0.3">
      <c r="A208" s="719"/>
      <c r="B208" s="408" t="s">
        <v>133</v>
      </c>
      <c r="C208" s="13" t="s">
        <v>134</v>
      </c>
      <c r="D208" s="255">
        <v>307.10000000000002</v>
      </c>
      <c r="E208" s="255">
        <v>317.89999999999998</v>
      </c>
      <c r="F208" s="257">
        <f>E208/D208</f>
        <v>1.0351676978183</v>
      </c>
      <c r="G208" s="100"/>
      <c r="H208" s="182"/>
      <c r="I208" s="182"/>
      <c r="J208" s="182"/>
      <c r="K208" s="487">
        <v>1</v>
      </c>
      <c r="L208" s="183"/>
    </row>
    <row r="209" spans="1:12" ht="26.4" x14ac:dyDescent="0.3">
      <c r="A209" s="719"/>
      <c r="B209" s="408" t="s">
        <v>135</v>
      </c>
      <c r="C209" s="13" t="s">
        <v>136</v>
      </c>
      <c r="D209" s="255">
        <v>203.5</v>
      </c>
      <c r="E209" s="255">
        <v>233.1</v>
      </c>
      <c r="F209" s="257">
        <f>E209/D209</f>
        <v>1.1454545454545455</v>
      </c>
      <c r="G209" s="100"/>
      <c r="H209" s="182"/>
      <c r="I209" s="182"/>
      <c r="J209" s="182"/>
      <c r="K209" s="487">
        <v>1</v>
      </c>
      <c r="L209" s="183"/>
    </row>
    <row r="210" spans="1:12" ht="26.4" x14ac:dyDescent="0.3">
      <c r="A210" s="719"/>
      <c r="B210" s="408" t="s">
        <v>137</v>
      </c>
      <c r="C210" s="13" t="s">
        <v>138</v>
      </c>
      <c r="D210" s="255">
        <v>790</v>
      </c>
      <c r="E210" s="256">
        <v>835</v>
      </c>
      <c r="F210" s="257">
        <f>E210/D210</f>
        <v>1.0569620253164558</v>
      </c>
      <c r="G210" s="100"/>
      <c r="H210" s="182"/>
      <c r="I210" s="182"/>
      <c r="J210" s="182"/>
      <c r="K210" s="487">
        <v>1</v>
      </c>
      <c r="L210" s="183"/>
    </row>
    <row r="211" spans="1:12" x14ac:dyDescent="0.3">
      <c r="A211" s="719"/>
      <c r="B211" s="408" t="s">
        <v>139</v>
      </c>
      <c r="C211" s="13" t="s">
        <v>32</v>
      </c>
      <c r="D211" s="255">
        <v>10</v>
      </c>
      <c r="E211" s="255">
        <v>10</v>
      </c>
      <c r="F211" s="257">
        <f>E211/D211</f>
        <v>1</v>
      </c>
      <c r="G211" s="100"/>
      <c r="H211" s="182"/>
      <c r="I211" s="182"/>
      <c r="J211" s="182"/>
      <c r="K211" s="487">
        <v>0.5</v>
      </c>
      <c r="L211" s="183"/>
    </row>
    <row r="212" spans="1:12" ht="15" thickBot="1" x14ac:dyDescent="0.35">
      <c r="A212" s="719"/>
      <c r="B212" s="628" t="s">
        <v>300</v>
      </c>
      <c r="C212" s="629"/>
      <c r="D212" s="630"/>
      <c r="E212" s="630"/>
      <c r="F212" s="631"/>
      <c r="G212" s="632"/>
      <c r="H212" s="633"/>
      <c r="I212" s="633"/>
      <c r="J212" s="627">
        <f>(0.25*F208+0.3*F209+0.25*F210+0.2*F211)/F203</f>
        <v>1.1228198134371095</v>
      </c>
      <c r="K212" s="634"/>
      <c r="L212" s="175"/>
    </row>
    <row r="213" spans="1:12" ht="66" x14ac:dyDescent="0.3">
      <c r="A213" s="718">
        <v>14</v>
      </c>
      <c r="B213" s="25" t="s">
        <v>140</v>
      </c>
      <c r="C213" s="186"/>
      <c r="D213" s="241"/>
      <c r="E213" s="2"/>
      <c r="F213" s="248"/>
      <c r="G213" s="178"/>
      <c r="H213" s="178"/>
      <c r="I213" s="178"/>
      <c r="J213" s="669" t="s">
        <v>310</v>
      </c>
      <c r="K213" s="178"/>
      <c r="L213" s="462" t="s">
        <v>304</v>
      </c>
    </row>
    <row r="214" spans="1:12" x14ac:dyDescent="0.3">
      <c r="A214" s="719"/>
      <c r="B214" s="191" t="s">
        <v>19</v>
      </c>
      <c r="C214" s="192" t="s">
        <v>20</v>
      </c>
      <c r="D214" s="264">
        <f t="shared" ref="D214:E214" si="23">SUM(D215:D217)</f>
        <v>5065.6000000000004</v>
      </c>
      <c r="E214" s="264">
        <f t="shared" si="23"/>
        <v>4892.3999999999996</v>
      </c>
      <c r="F214" s="201">
        <f>E214/D214</f>
        <v>0.96580859128237506</v>
      </c>
      <c r="G214" s="195"/>
      <c r="H214" s="195"/>
      <c r="I214" s="195"/>
      <c r="J214" s="195"/>
      <c r="K214" s="195"/>
      <c r="L214" s="277"/>
    </row>
    <row r="215" spans="1:12" x14ac:dyDescent="0.3">
      <c r="A215" s="719"/>
      <c r="B215" s="10" t="s">
        <v>21</v>
      </c>
      <c r="C215" s="181" t="s">
        <v>20</v>
      </c>
      <c r="D215" s="159">
        <v>102</v>
      </c>
      <c r="E215" s="185">
        <v>102</v>
      </c>
      <c r="F215" s="202">
        <f>E215/D215</f>
        <v>1</v>
      </c>
      <c r="G215" s="195"/>
      <c r="H215" s="195"/>
      <c r="I215" s="195"/>
      <c r="J215" s="195"/>
      <c r="K215" s="195"/>
      <c r="L215" s="277"/>
    </row>
    <row r="216" spans="1:12" x14ac:dyDescent="0.3">
      <c r="A216" s="719"/>
      <c r="B216" s="10" t="s">
        <v>74</v>
      </c>
      <c r="C216" s="181" t="s">
        <v>20</v>
      </c>
      <c r="D216" s="159">
        <v>305</v>
      </c>
      <c r="E216" s="185">
        <v>294</v>
      </c>
      <c r="F216" s="202">
        <f>E216/D216</f>
        <v>0.9639344262295082</v>
      </c>
      <c r="G216" s="182"/>
      <c r="H216" s="182"/>
      <c r="I216" s="182"/>
      <c r="J216" s="182"/>
      <c r="K216" s="182"/>
      <c r="L216" s="183"/>
    </row>
    <row r="217" spans="1:12" x14ac:dyDescent="0.3">
      <c r="A217" s="719"/>
      <c r="B217" s="10" t="s">
        <v>35</v>
      </c>
      <c r="C217" s="181" t="s">
        <v>20</v>
      </c>
      <c r="D217" s="159">
        <v>4658.6000000000004</v>
      </c>
      <c r="E217" s="185">
        <v>4496.3999999999996</v>
      </c>
      <c r="F217" s="202">
        <f>E217/D217</f>
        <v>0.96518267290602311</v>
      </c>
      <c r="G217" s="182"/>
      <c r="H217" s="182"/>
      <c r="I217" s="182"/>
      <c r="J217" s="182"/>
      <c r="K217" s="182"/>
      <c r="L217" s="183"/>
    </row>
    <row r="218" spans="1:12" x14ac:dyDescent="0.3">
      <c r="A218" s="719"/>
      <c r="B218" s="196" t="s">
        <v>24</v>
      </c>
      <c r="C218" s="216"/>
      <c r="D218" s="246"/>
      <c r="E218" s="216"/>
      <c r="F218" s="251"/>
      <c r="G218" s="458">
        <v>4</v>
      </c>
      <c r="H218" s="458">
        <v>4</v>
      </c>
      <c r="I218" s="458">
        <v>0</v>
      </c>
      <c r="J218" s="458"/>
      <c r="K218" s="458">
        <f>SUM(K219:K222)</f>
        <v>1</v>
      </c>
      <c r="L218" s="234"/>
    </row>
    <row r="219" spans="1:12" ht="66" x14ac:dyDescent="0.3">
      <c r="A219" s="719"/>
      <c r="B219" s="14" t="s">
        <v>141</v>
      </c>
      <c r="C219" s="82" t="s">
        <v>30</v>
      </c>
      <c r="D219" s="275">
        <v>800</v>
      </c>
      <c r="E219" s="82">
        <v>1024</v>
      </c>
      <c r="F219" s="220">
        <f>E219/D219</f>
        <v>1.28</v>
      </c>
      <c r="G219" s="182"/>
      <c r="H219" s="182"/>
      <c r="I219" s="182"/>
      <c r="J219" s="182"/>
      <c r="K219" s="487">
        <v>1</v>
      </c>
      <c r="L219" s="183"/>
    </row>
    <row r="220" spans="1:12" ht="26.4" x14ac:dyDescent="0.3">
      <c r="A220" s="719"/>
      <c r="B220" s="14" t="s">
        <v>142</v>
      </c>
      <c r="C220" s="82" t="s">
        <v>32</v>
      </c>
      <c r="D220" s="275">
        <v>586</v>
      </c>
      <c r="E220" s="82">
        <v>586</v>
      </c>
      <c r="F220" s="220">
        <f>E220/D220</f>
        <v>1</v>
      </c>
      <c r="G220" s="182"/>
      <c r="H220" s="182"/>
      <c r="I220" s="182"/>
      <c r="J220" s="182"/>
      <c r="K220" s="487">
        <v>0.5</v>
      </c>
      <c r="L220" s="183"/>
    </row>
    <row r="221" spans="1:12" ht="39.6" x14ac:dyDescent="0.3">
      <c r="A221" s="719"/>
      <c r="B221" s="14" t="s">
        <v>143</v>
      </c>
      <c r="C221" s="82" t="s">
        <v>30</v>
      </c>
      <c r="D221" s="276">
        <v>54300</v>
      </c>
      <c r="E221" s="276">
        <v>54300</v>
      </c>
      <c r="F221" s="220">
        <f>E221/D221</f>
        <v>1</v>
      </c>
      <c r="G221" s="182"/>
      <c r="H221" s="182"/>
      <c r="I221" s="182"/>
      <c r="J221" s="182"/>
      <c r="K221" s="487">
        <v>0.5</v>
      </c>
      <c r="L221" s="183"/>
    </row>
    <row r="222" spans="1:12" ht="39.6" x14ac:dyDescent="0.3">
      <c r="A222" s="719"/>
      <c r="B222" s="14" t="s">
        <v>144</v>
      </c>
      <c r="C222" s="82" t="s">
        <v>30</v>
      </c>
      <c r="D222" s="276">
        <v>15565</v>
      </c>
      <c r="E222" s="276">
        <v>14657</v>
      </c>
      <c r="F222" s="220">
        <f>E222/D222</f>
        <v>0.94166398972052678</v>
      </c>
      <c r="G222" s="182"/>
      <c r="H222" s="182"/>
      <c r="I222" s="182"/>
      <c r="J222" s="182"/>
      <c r="K222" s="487">
        <v>-1</v>
      </c>
      <c r="L222" s="183"/>
    </row>
    <row r="223" spans="1:12" ht="15" thickBot="1" x14ac:dyDescent="0.35">
      <c r="A223" s="720"/>
      <c r="B223" s="570" t="s">
        <v>300</v>
      </c>
      <c r="C223" s="590"/>
      <c r="D223" s="635"/>
      <c r="E223" s="635"/>
      <c r="F223" s="581"/>
      <c r="G223" s="574"/>
      <c r="H223" s="574"/>
      <c r="I223" s="574"/>
      <c r="J223" s="583">
        <f>(0.2*F219+0.3*F220+0.3*F221+0.2*F222)/F214</f>
        <v>1.0813041086717483</v>
      </c>
      <c r="K223" s="600"/>
      <c r="L223" s="598"/>
    </row>
    <row r="224" spans="1:12" ht="52.8" x14ac:dyDescent="0.3">
      <c r="A224" s="731" t="s">
        <v>145</v>
      </c>
      <c r="B224" s="448" t="s">
        <v>146</v>
      </c>
      <c r="C224" s="317"/>
      <c r="D224" s="319"/>
      <c r="E224" s="318"/>
      <c r="F224" s="258"/>
      <c r="G224" s="72"/>
      <c r="H224" s="72"/>
      <c r="I224" s="72"/>
      <c r="J224" s="518"/>
      <c r="K224" s="518"/>
      <c r="L224" s="449"/>
    </row>
    <row r="225" spans="1:12" x14ac:dyDescent="0.3">
      <c r="A225" s="731"/>
      <c r="B225" s="191" t="s">
        <v>19</v>
      </c>
      <c r="C225" s="192" t="s">
        <v>20</v>
      </c>
      <c r="D225" s="423">
        <f t="shared" ref="D225:E225" si="24">SUM(D226:D229)</f>
        <v>83549.56</v>
      </c>
      <c r="E225" s="423">
        <f t="shared" si="24"/>
        <v>82818.36</v>
      </c>
      <c r="F225" s="201">
        <f>E225/D225</f>
        <v>0.99124830818977383</v>
      </c>
      <c r="G225" s="222"/>
      <c r="H225" s="222"/>
      <c r="I225" s="222"/>
      <c r="J225" s="511"/>
      <c r="K225" s="511"/>
      <c r="L225" s="431"/>
    </row>
    <row r="226" spans="1:12" x14ac:dyDescent="0.3">
      <c r="A226" s="731"/>
      <c r="B226" s="11" t="s">
        <v>21</v>
      </c>
      <c r="C226" s="181" t="s">
        <v>20</v>
      </c>
      <c r="D226" s="394">
        <f t="shared" ref="D226:E226" si="25">D260+D270+D280+D292</f>
        <v>32284.300000000003</v>
      </c>
      <c r="E226" s="394">
        <f t="shared" si="25"/>
        <v>32178.7</v>
      </c>
      <c r="F226" s="202">
        <f>E226/D226</f>
        <v>0.99672906025529429</v>
      </c>
      <c r="G226" s="139"/>
      <c r="H226" s="139"/>
      <c r="I226" s="139"/>
      <c r="J226" s="512"/>
      <c r="K226" s="512"/>
      <c r="L226" s="111"/>
    </row>
    <row r="227" spans="1:12" x14ac:dyDescent="0.3">
      <c r="A227" s="731"/>
      <c r="B227" s="11" t="s">
        <v>74</v>
      </c>
      <c r="C227" s="181" t="s">
        <v>20</v>
      </c>
      <c r="D227" s="394">
        <f t="shared" ref="D227:E227" si="26">D242+D252+D261+D271+D281+D293</f>
        <v>23557.73</v>
      </c>
      <c r="E227" s="394">
        <f t="shared" si="26"/>
        <v>23400.93</v>
      </c>
      <c r="F227" s="202">
        <f>E227/D227</f>
        <v>0.993344010649583</v>
      </c>
      <c r="G227" s="139"/>
      <c r="H227" s="139"/>
      <c r="I227" s="139"/>
      <c r="J227" s="512"/>
      <c r="K227" s="512"/>
      <c r="L227" s="111"/>
    </row>
    <row r="228" spans="1:12" x14ac:dyDescent="0.3">
      <c r="A228" s="731"/>
      <c r="B228" s="11" t="s">
        <v>35</v>
      </c>
      <c r="C228" s="181" t="s">
        <v>20</v>
      </c>
      <c r="D228" s="394">
        <f t="shared" ref="D228:E228" si="27">D234+D243+D253+D262+D272+D282+D294</f>
        <v>21435.200000000001</v>
      </c>
      <c r="E228" s="394">
        <f t="shared" si="27"/>
        <v>20966.400000000001</v>
      </c>
      <c r="F228" s="202">
        <f>E228/D228</f>
        <v>0.97812943196237967</v>
      </c>
      <c r="G228" s="139"/>
      <c r="H228" s="139"/>
      <c r="I228" s="139"/>
      <c r="J228" s="512"/>
      <c r="K228" s="512"/>
      <c r="L228" s="111"/>
    </row>
    <row r="229" spans="1:12" x14ac:dyDescent="0.3">
      <c r="A229" s="731"/>
      <c r="B229" s="11" t="s">
        <v>147</v>
      </c>
      <c r="C229" s="181" t="s">
        <v>20</v>
      </c>
      <c r="D229" s="394">
        <f t="shared" ref="D229:E229" si="28">D263+D273+D283</f>
        <v>6272.33</v>
      </c>
      <c r="E229" s="394">
        <f t="shared" si="28"/>
        <v>6272.33</v>
      </c>
      <c r="F229" s="202">
        <f>E229/D229</f>
        <v>1</v>
      </c>
      <c r="G229" s="139"/>
      <c r="H229" s="139"/>
      <c r="I229" s="139"/>
      <c r="J229" s="512"/>
      <c r="K229" s="512"/>
      <c r="L229" s="111"/>
    </row>
    <row r="230" spans="1:12" ht="26.4" x14ac:dyDescent="0.3">
      <c r="A230" s="731"/>
      <c r="B230" s="11" t="s">
        <v>148</v>
      </c>
      <c r="C230" s="181" t="s">
        <v>20</v>
      </c>
      <c r="D230" s="394"/>
      <c r="E230" s="394"/>
      <c r="F230" s="202"/>
      <c r="G230" s="139"/>
      <c r="H230" s="139"/>
      <c r="I230" s="139"/>
      <c r="J230" s="512"/>
      <c r="K230" s="512"/>
      <c r="L230" s="111"/>
    </row>
    <row r="231" spans="1:12" ht="40.200000000000003" thickBot="1" x14ac:dyDescent="0.35">
      <c r="A231" s="732"/>
      <c r="B231" s="30" t="s">
        <v>36</v>
      </c>
      <c r="C231" s="184" t="s">
        <v>26</v>
      </c>
      <c r="D231" s="114"/>
      <c r="E231" s="101"/>
      <c r="F231" s="249"/>
      <c r="G231" s="179"/>
      <c r="H231" s="179"/>
      <c r="I231" s="179"/>
      <c r="J231" s="517"/>
      <c r="K231" s="517"/>
      <c r="L231" s="176"/>
    </row>
    <row r="232" spans="1:12" ht="39.6" x14ac:dyDescent="0.3">
      <c r="A232" s="718">
        <v>15</v>
      </c>
      <c r="B232" s="307" t="s">
        <v>224</v>
      </c>
      <c r="C232" s="186"/>
      <c r="D232" s="241"/>
      <c r="E232" s="322"/>
      <c r="F232" s="248"/>
      <c r="G232" s="178"/>
      <c r="H232" s="178"/>
      <c r="I232" s="178"/>
      <c r="J232" s="669" t="s">
        <v>308</v>
      </c>
      <c r="K232" s="178"/>
      <c r="L232" s="462" t="s">
        <v>319</v>
      </c>
    </row>
    <row r="233" spans="1:12" x14ac:dyDescent="0.3">
      <c r="A233" s="719"/>
      <c r="B233" s="191" t="s">
        <v>19</v>
      </c>
      <c r="C233" s="192" t="s">
        <v>20</v>
      </c>
      <c r="D233" s="390">
        <f>SUM(D234:D234)</f>
        <v>299.10000000000002</v>
      </c>
      <c r="E233" s="494">
        <f>SUM(E234:E234)</f>
        <v>299.10000000000002</v>
      </c>
      <c r="F233" s="201">
        <f>E233/D233</f>
        <v>1</v>
      </c>
      <c r="G233" s="195"/>
      <c r="H233" s="195"/>
      <c r="I233" s="195"/>
      <c r="J233" s="195"/>
      <c r="K233" s="195"/>
      <c r="L233" s="272"/>
    </row>
    <row r="234" spans="1:12" x14ac:dyDescent="0.3">
      <c r="A234" s="719"/>
      <c r="B234" s="11" t="s">
        <v>35</v>
      </c>
      <c r="C234" s="181" t="s">
        <v>20</v>
      </c>
      <c r="D234" s="391">
        <v>299.10000000000002</v>
      </c>
      <c r="E234" s="496">
        <v>299.10000000000002</v>
      </c>
      <c r="F234" s="201">
        <f>E234/D234</f>
        <v>1</v>
      </c>
      <c r="G234" s="182"/>
      <c r="H234" s="182"/>
      <c r="I234" s="182"/>
      <c r="J234" s="182"/>
      <c r="K234" s="182"/>
      <c r="L234" s="183"/>
    </row>
    <row r="235" spans="1:12" x14ac:dyDescent="0.3">
      <c r="A235" s="719"/>
      <c r="B235" s="636" t="s">
        <v>223</v>
      </c>
      <c r="C235" s="197"/>
      <c r="D235" s="247"/>
      <c r="E235" s="325"/>
      <c r="F235" s="251"/>
      <c r="G235" s="530">
        <v>3</v>
      </c>
      <c r="H235" s="530">
        <v>2</v>
      </c>
      <c r="I235" s="530">
        <v>1</v>
      </c>
      <c r="J235" s="200"/>
      <c r="K235" s="530">
        <f>SUM(K236:K238)</f>
        <v>0.5</v>
      </c>
      <c r="L235" s="234"/>
    </row>
    <row r="236" spans="1:12" ht="26.4" x14ac:dyDescent="0.3">
      <c r="A236" s="719"/>
      <c r="B236" s="381" t="s">
        <v>228</v>
      </c>
      <c r="C236" s="349" t="s">
        <v>64</v>
      </c>
      <c r="D236" s="696">
        <v>3</v>
      </c>
      <c r="E236" s="698">
        <v>8</v>
      </c>
      <c r="F236" s="202">
        <f>E236/D236</f>
        <v>2.6666666666666665</v>
      </c>
      <c r="G236" s="182"/>
      <c r="H236" s="182"/>
      <c r="I236" s="182"/>
      <c r="J236" s="182"/>
      <c r="K236" s="487">
        <v>1</v>
      </c>
      <c r="L236" s="183"/>
    </row>
    <row r="237" spans="1:12" ht="66" x14ac:dyDescent="0.3">
      <c r="A237" s="719"/>
      <c r="B237" s="381" t="s">
        <v>229</v>
      </c>
      <c r="C237" s="349" t="s">
        <v>64</v>
      </c>
      <c r="D237" s="696">
        <v>2</v>
      </c>
      <c r="E237" s="698"/>
      <c r="F237" s="202">
        <f t="shared" ref="F237:F238" si="29">E237/D237</f>
        <v>0</v>
      </c>
      <c r="G237" s="182"/>
      <c r="H237" s="182"/>
      <c r="I237" s="182"/>
      <c r="J237" s="182"/>
      <c r="K237" s="487">
        <v>-1</v>
      </c>
      <c r="L237" s="183"/>
    </row>
    <row r="238" spans="1:12" ht="39.6" x14ac:dyDescent="0.3">
      <c r="A238" s="719"/>
      <c r="B238" s="381" t="s">
        <v>230</v>
      </c>
      <c r="C238" s="349" t="s">
        <v>64</v>
      </c>
      <c r="D238" s="696">
        <v>1</v>
      </c>
      <c r="E238" s="698">
        <v>1</v>
      </c>
      <c r="F238" s="202">
        <f t="shared" si="29"/>
        <v>1</v>
      </c>
      <c r="G238" s="182"/>
      <c r="H238" s="182"/>
      <c r="I238" s="182"/>
      <c r="J238" s="182"/>
      <c r="K238" s="487">
        <v>0.5</v>
      </c>
      <c r="L238" s="183"/>
    </row>
    <row r="239" spans="1:12" ht="15" thickBot="1" x14ac:dyDescent="0.35">
      <c r="A239" s="720"/>
      <c r="B239" s="637" t="s">
        <v>300</v>
      </c>
      <c r="C239" s="638"/>
      <c r="D239" s="692"/>
      <c r="E239" s="702"/>
      <c r="F239" s="594"/>
      <c r="G239" s="574"/>
      <c r="H239" s="574"/>
      <c r="I239" s="574"/>
      <c r="J239" s="583">
        <f>(0.4*F236+0.2*F237+0.4*F238)/F233</f>
        <v>1.4666666666666668</v>
      </c>
      <c r="K239" s="574"/>
      <c r="L239" s="598"/>
    </row>
    <row r="240" spans="1:12" ht="105.6" x14ac:dyDescent="0.3">
      <c r="A240" s="718">
        <v>16</v>
      </c>
      <c r="B240" s="445" t="s">
        <v>149</v>
      </c>
      <c r="C240" s="186"/>
      <c r="D240" s="241"/>
      <c r="E240" s="2"/>
      <c r="F240" s="248"/>
      <c r="G240" s="178"/>
      <c r="H240" s="178"/>
      <c r="I240" s="178"/>
      <c r="J240" s="669" t="s">
        <v>308</v>
      </c>
      <c r="K240" s="178"/>
      <c r="L240" s="462" t="s">
        <v>304</v>
      </c>
    </row>
    <row r="241" spans="1:12" x14ac:dyDescent="0.3">
      <c r="A241" s="719"/>
      <c r="B241" s="191" t="s">
        <v>19</v>
      </c>
      <c r="C241" s="192" t="s">
        <v>20</v>
      </c>
      <c r="D241" s="252">
        <f t="shared" ref="D241" si="30">SUM(D242:D243)</f>
        <v>9535.4</v>
      </c>
      <c r="E241" s="252">
        <f>SUM(E242:E243)</f>
        <v>9407.6</v>
      </c>
      <c r="F241" s="201">
        <f>E241/D241</f>
        <v>0.98659731107242499</v>
      </c>
      <c r="G241" s="195"/>
      <c r="H241" s="195"/>
      <c r="I241" s="195"/>
      <c r="J241" s="195"/>
      <c r="K241" s="195"/>
      <c r="L241" s="272"/>
    </row>
    <row r="242" spans="1:12" x14ac:dyDescent="0.3">
      <c r="A242" s="719"/>
      <c r="B242" s="11" t="s">
        <v>74</v>
      </c>
      <c r="C242" s="181" t="s">
        <v>20</v>
      </c>
      <c r="D242" s="190">
        <v>6461</v>
      </c>
      <c r="E242" s="190">
        <v>6460</v>
      </c>
      <c r="F242" s="202">
        <f>E242/D242</f>
        <v>0.99984522519733787</v>
      </c>
      <c r="G242" s="182"/>
      <c r="H242" s="182"/>
      <c r="I242" s="182"/>
      <c r="J242" s="182"/>
      <c r="K242" s="182"/>
      <c r="L242" s="183"/>
    </row>
    <row r="243" spans="1:12" x14ac:dyDescent="0.3">
      <c r="A243" s="719"/>
      <c r="B243" s="11" t="s">
        <v>35</v>
      </c>
      <c r="C243" s="181" t="s">
        <v>20</v>
      </c>
      <c r="D243" s="190">
        <v>3074.4</v>
      </c>
      <c r="E243" s="190">
        <v>2947.6</v>
      </c>
      <c r="F243" s="202">
        <f>E243/D243</f>
        <v>0.95875618006765539</v>
      </c>
      <c r="G243" s="182"/>
      <c r="H243" s="182"/>
      <c r="I243" s="182"/>
      <c r="J243" s="182"/>
      <c r="K243" s="182"/>
      <c r="L243" s="183"/>
    </row>
    <row r="244" spans="1:12" x14ac:dyDescent="0.3">
      <c r="A244" s="719"/>
      <c r="B244" s="233" t="s">
        <v>75</v>
      </c>
      <c r="C244" s="21"/>
      <c r="D244" s="242"/>
      <c r="E244" s="22"/>
      <c r="F244" s="250"/>
      <c r="G244" s="458">
        <v>4</v>
      </c>
      <c r="H244" s="458">
        <v>4</v>
      </c>
      <c r="I244" s="458">
        <v>0</v>
      </c>
      <c r="J244" s="458"/>
      <c r="K244" s="458">
        <f>SUM(K245:K248)</f>
        <v>1</v>
      </c>
      <c r="L244" s="459"/>
    </row>
    <row r="245" spans="1:12" ht="26.4" x14ac:dyDescent="0.3">
      <c r="A245" s="719"/>
      <c r="B245" s="64" t="s">
        <v>150</v>
      </c>
      <c r="C245" s="45" t="s">
        <v>26</v>
      </c>
      <c r="D245" s="386">
        <v>65</v>
      </c>
      <c r="E245" s="386">
        <v>65</v>
      </c>
      <c r="F245" s="202">
        <f>E245/D245</f>
        <v>1</v>
      </c>
      <c r="G245" s="182"/>
      <c r="H245" s="182"/>
      <c r="I245" s="182"/>
      <c r="J245" s="182"/>
      <c r="K245" s="487">
        <v>0.5</v>
      </c>
      <c r="L245" s="183"/>
    </row>
    <row r="246" spans="1:12" ht="66" x14ac:dyDescent="0.3">
      <c r="A246" s="719"/>
      <c r="B246" s="64" t="s">
        <v>151</v>
      </c>
      <c r="C246" s="45" t="s">
        <v>26</v>
      </c>
      <c r="D246" s="386">
        <v>15</v>
      </c>
      <c r="E246" s="386">
        <v>15</v>
      </c>
      <c r="F246" s="202">
        <f>E246/D246</f>
        <v>1</v>
      </c>
      <c r="G246" s="182"/>
      <c r="H246" s="182"/>
      <c r="I246" s="182"/>
      <c r="J246" s="182"/>
      <c r="K246" s="487">
        <v>0.5</v>
      </c>
      <c r="L246" s="183"/>
    </row>
    <row r="247" spans="1:12" ht="39.6" x14ac:dyDescent="0.3">
      <c r="A247" s="719"/>
      <c r="B247" s="64" t="s">
        <v>152</v>
      </c>
      <c r="C247" s="45" t="s">
        <v>26</v>
      </c>
      <c r="D247" s="386">
        <v>87.7</v>
      </c>
      <c r="E247" s="5">
        <f>1.91*100/1.2</f>
        <v>159.16666666666669</v>
      </c>
      <c r="F247" s="202">
        <f>E247/D247</f>
        <v>1.8148992778411253</v>
      </c>
      <c r="G247" s="182"/>
      <c r="H247" s="182"/>
      <c r="I247" s="182"/>
      <c r="J247" s="182"/>
      <c r="K247" s="487">
        <v>1</v>
      </c>
      <c r="L247" s="183"/>
    </row>
    <row r="248" spans="1:12" ht="26.4" x14ac:dyDescent="0.3">
      <c r="A248" s="719"/>
      <c r="B248" s="64" t="s">
        <v>153</v>
      </c>
      <c r="C248" s="45" t="s">
        <v>154</v>
      </c>
      <c r="D248" s="386">
        <v>215.1</v>
      </c>
      <c r="E248" s="639">
        <v>1.913</v>
      </c>
      <c r="F248" s="202">
        <f>E248/D248</f>
        <v>8.8935378893537885E-3</v>
      </c>
      <c r="G248" s="182"/>
      <c r="H248" s="182"/>
      <c r="I248" s="182"/>
      <c r="J248" s="182"/>
      <c r="K248" s="487">
        <v>-1</v>
      </c>
      <c r="L248" s="187"/>
    </row>
    <row r="249" spans="1:12" ht="15" thickBot="1" x14ac:dyDescent="0.35">
      <c r="A249" s="720"/>
      <c r="B249" s="616" t="s">
        <v>300</v>
      </c>
      <c r="C249" s="589"/>
      <c r="D249" s="640"/>
      <c r="E249" s="641"/>
      <c r="F249" s="594"/>
      <c r="G249" s="574"/>
      <c r="H249" s="574"/>
      <c r="I249" s="574"/>
      <c r="J249" s="678">
        <v>1.02</v>
      </c>
      <c r="K249" s="600"/>
      <c r="L249" s="598"/>
    </row>
    <row r="250" spans="1:12" ht="171.6" x14ac:dyDescent="0.3">
      <c r="A250" s="718">
        <v>17</v>
      </c>
      <c r="B250" s="642" t="s">
        <v>156</v>
      </c>
      <c r="C250" s="643"/>
      <c r="D250" s="241"/>
      <c r="E250" s="2"/>
      <c r="F250" s="248"/>
      <c r="G250" s="178"/>
      <c r="H250" s="178"/>
      <c r="I250" s="178"/>
      <c r="J250" s="669" t="s">
        <v>310</v>
      </c>
      <c r="K250" s="178"/>
      <c r="L250" s="462" t="s">
        <v>304</v>
      </c>
    </row>
    <row r="251" spans="1:12" x14ac:dyDescent="0.3">
      <c r="A251" s="719"/>
      <c r="B251" s="191" t="s">
        <v>19</v>
      </c>
      <c r="C251" s="192" t="s">
        <v>20</v>
      </c>
      <c r="D251" s="340">
        <f t="shared" ref="D251:E251" si="31">SUM(D252:D253)</f>
        <v>3804.2</v>
      </c>
      <c r="E251" s="340">
        <f t="shared" si="31"/>
        <v>3801.1</v>
      </c>
      <c r="F251" s="201">
        <f>E251/D251</f>
        <v>0.99918511119289211</v>
      </c>
      <c r="G251" s="182"/>
      <c r="H251" s="182"/>
      <c r="I251" s="182"/>
      <c r="J251" s="182"/>
      <c r="K251" s="182"/>
      <c r="L251" s="183"/>
    </row>
    <row r="252" spans="1:12" x14ac:dyDescent="0.3">
      <c r="A252" s="719"/>
      <c r="B252" s="11" t="s">
        <v>74</v>
      </c>
      <c r="C252" s="181" t="s">
        <v>20</v>
      </c>
      <c r="D252" s="339">
        <v>2624.2</v>
      </c>
      <c r="E252" s="339">
        <v>2622.2</v>
      </c>
      <c r="F252" s="202">
        <f>E252/D252</f>
        <v>0.99923786296776163</v>
      </c>
      <c r="G252" s="182"/>
      <c r="H252" s="182"/>
      <c r="I252" s="182"/>
      <c r="J252" s="182"/>
      <c r="K252" s="182"/>
      <c r="L252" s="59"/>
    </row>
    <row r="253" spans="1:12" x14ac:dyDescent="0.3">
      <c r="A253" s="719"/>
      <c r="B253" s="11" t="s">
        <v>35</v>
      </c>
      <c r="C253" s="181" t="s">
        <v>20</v>
      </c>
      <c r="D253" s="339">
        <v>1180</v>
      </c>
      <c r="E253" s="339">
        <v>1178.9000000000001</v>
      </c>
      <c r="F253" s="202">
        <f>E253/D253</f>
        <v>0.99906779661016953</v>
      </c>
      <c r="G253" s="182"/>
      <c r="H253" s="182"/>
      <c r="I253" s="182"/>
      <c r="J253" s="182"/>
      <c r="K253" s="182"/>
      <c r="L253" s="183"/>
    </row>
    <row r="254" spans="1:12" x14ac:dyDescent="0.3">
      <c r="A254" s="719"/>
      <c r="B254" s="233" t="s">
        <v>75</v>
      </c>
      <c r="C254" s="216"/>
      <c r="D254" s="246"/>
      <c r="E254" s="216"/>
      <c r="F254" s="250"/>
      <c r="G254" s="458">
        <v>2</v>
      </c>
      <c r="H254" s="458">
        <v>2</v>
      </c>
      <c r="I254" s="458">
        <v>0</v>
      </c>
      <c r="J254" s="458"/>
      <c r="K254" s="458">
        <f>SUM(K255:K256)</f>
        <v>1</v>
      </c>
      <c r="L254" s="459"/>
    </row>
    <row r="255" spans="1:12" ht="52.8" x14ac:dyDescent="0.3">
      <c r="A255" s="719"/>
      <c r="B255" s="455" t="s">
        <v>157</v>
      </c>
      <c r="C255" s="82" t="s">
        <v>26</v>
      </c>
      <c r="D255" s="275">
        <v>100</v>
      </c>
      <c r="E255" s="82">
        <v>100</v>
      </c>
      <c r="F255" s="232">
        <f>E255/D255</f>
        <v>1</v>
      </c>
      <c r="G255" s="182"/>
      <c r="H255" s="182"/>
      <c r="I255" s="182"/>
      <c r="J255" s="182"/>
      <c r="K255" s="487">
        <v>0.5</v>
      </c>
      <c r="L255" s="183"/>
    </row>
    <row r="256" spans="1:12" ht="66" x14ac:dyDescent="0.3">
      <c r="A256" s="719"/>
      <c r="B256" s="455" t="s">
        <v>158</v>
      </c>
      <c r="C256" s="82" t="s">
        <v>26</v>
      </c>
      <c r="D256" s="275">
        <v>66</v>
      </c>
      <c r="E256" s="82">
        <v>66</v>
      </c>
      <c r="F256" s="232">
        <f>E256/D256</f>
        <v>1</v>
      </c>
      <c r="G256" s="182"/>
      <c r="H256" s="182"/>
      <c r="I256" s="182"/>
      <c r="J256" s="182"/>
      <c r="K256" s="487">
        <v>0.5</v>
      </c>
      <c r="L256" s="183"/>
    </row>
    <row r="257" spans="1:12" ht="15" thickBot="1" x14ac:dyDescent="0.35">
      <c r="A257" s="720"/>
      <c r="B257" s="615" t="s">
        <v>300</v>
      </c>
      <c r="C257" s="590"/>
      <c r="D257" s="597"/>
      <c r="E257" s="590"/>
      <c r="F257" s="581"/>
      <c r="G257" s="574"/>
      <c r="H257" s="574"/>
      <c r="I257" s="574"/>
      <c r="J257" s="583">
        <f>(0.5*F255+0.5*F256)/F251</f>
        <v>1.000815553392439</v>
      </c>
      <c r="K257" s="600"/>
      <c r="L257" s="598"/>
    </row>
    <row r="258" spans="1:12" ht="105.6" x14ac:dyDescent="0.3">
      <c r="A258" s="718">
        <v>18</v>
      </c>
      <c r="B258" s="25" t="s">
        <v>159</v>
      </c>
      <c r="C258" s="186"/>
      <c r="D258" s="241"/>
      <c r="E258" s="2"/>
      <c r="F258" s="248"/>
      <c r="G258" s="178"/>
      <c r="H258" s="178"/>
      <c r="I258" s="178"/>
      <c r="J258" s="669" t="s">
        <v>311</v>
      </c>
      <c r="K258" s="178"/>
      <c r="L258" s="462" t="s">
        <v>304</v>
      </c>
    </row>
    <row r="259" spans="1:12" x14ac:dyDescent="0.3">
      <c r="A259" s="719"/>
      <c r="B259" s="191" t="s">
        <v>109</v>
      </c>
      <c r="C259" s="192" t="s">
        <v>20</v>
      </c>
      <c r="D259" s="398">
        <f t="shared" ref="D259:E259" si="32">SUM(D260:D263)</f>
        <v>6962.6</v>
      </c>
      <c r="E259" s="398">
        <f t="shared" si="32"/>
        <v>6962.6</v>
      </c>
      <c r="F259" s="201">
        <f>E259/D259</f>
        <v>1</v>
      </c>
      <c r="G259" s="195"/>
      <c r="H259" s="195"/>
      <c r="I259" s="195"/>
      <c r="J259" s="195"/>
      <c r="K259" s="195"/>
      <c r="L259" s="272"/>
    </row>
    <row r="260" spans="1:12" x14ac:dyDescent="0.3">
      <c r="A260" s="719"/>
      <c r="B260" s="11" t="s">
        <v>21</v>
      </c>
      <c r="C260" s="181" t="s">
        <v>20</v>
      </c>
      <c r="D260" s="399">
        <v>774.6</v>
      </c>
      <c r="E260" s="399">
        <v>774.6</v>
      </c>
      <c r="F260" s="202">
        <f>E260/D260</f>
        <v>1</v>
      </c>
      <c r="G260" s="182"/>
      <c r="H260" s="182"/>
      <c r="I260" s="182"/>
      <c r="J260" s="182"/>
      <c r="K260" s="182"/>
      <c r="L260" s="183"/>
    </row>
    <row r="261" spans="1:12" x14ac:dyDescent="0.3">
      <c r="A261" s="719"/>
      <c r="B261" s="11" t="s">
        <v>74</v>
      </c>
      <c r="C261" s="181" t="s">
        <v>20</v>
      </c>
      <c r="D261" s="399">
        <v>1417</v>
      </c>
      <c r="E261" s="399">
        <v>1417</v>
      </c>
      <c r="F261" s="202">
        <f>E261/D261</f>
        <v>1</v>
      </c>
      <c r="G261" s="182"/>
      <c r="H261" s="182"/>
      <c r="I261" s="182"/>
      <c r="J261" s="182"/>
      <c r="K261" s="182"/>
      <c r="L261" s="187"/>
    </row>
    <row r="262" spans="1:12" x14ac:dyDescent="0.3">
      <c r="A262" s="719"/>
      <c r="B262" s="11" t="s">
        <v>35</v>
      </c>
      <c r="C262" s="181" t="s">
        <v>20</v>
      </c>
      <c r="D262" s="399">
        <v>1413</v>
      </c>
      <c r="E262" s="399">
        <v>1413</v>
      </c>
      <c r="F262" s="202">
        <f>E262/D262</f>
        <v>1</v>
      </c>
      <c r="G262" s="182"/>
      <c r="H262" s="182"/>
      <c r="I262" s="182"/>
      <c r="J262" s="182"/>
      <c r="K262" s="182"/>
      <c r="L262" s="183"/>
    </row>
    <row r="263" spans="1:12" x14ac:dyDescent="0.3">
      <c r="A263" s="719"/>
      <c r="B263" s="11" t="s">
        <v>161</v>
      </c>
      <c r="C263" s="181" t="s">
        <v>20</v>
      </c>
      <c r="D263" s="399">
        <v>3358</v>
      </c>
      <c r="E263" s="399">
        <v>3358</v>
      </c>
      <c r="F263" s="202">
        <f>E263/D263</f>
        <v>1</v>
      </c>
      <c r="G263" s="182"/>
      <c r="H263" s="182"/>
      <c r="I263" s="182"/>
      <c r="J263" s="182"/>
      <c r="K263" s="182"/>
      <c r="L263" s="183"/>
    </row>
    <row r="264" spans="1:12" x14ac:dyDescent="0.3">
      <c r="A264" s="719"/>
      <c r="B264" s="233" t="s">
        <v>75</v>
      </c>
      <c r="C264" s="197"/>
      <c r="D264" s="247"/>
      <c r="E264" s="198"/>
      <c r="F264" s="250"/>
      <c r="G264" s="200"/>
      <c r="H264" s="200"/>
      <c r="I264" s="200"/>
      <c r="J264" s="200"/>
      <c r="K264" s="530">
        <f>SUM(K265:K266)</f>
        <v>1</v>
      </c>
      <c r="L264" s="234"/>
    </row>
    <row r="265" spans="1:12" ht="52.2" customHeight="1" x14ac:dyDescent="0.3">
      <c r="A265" s="719"/>
      <c r="B265" s="14" t="s">
        <v>162</v>
      </c>
      <c r="C265" s="82" t="s">
        <v>163</v>
      </c>
      <c r="D265" s="472">
        <v>4</v>
      </c>
      <c r="E265" s="473">
        <v>4</v>
      </c>
      <c r="F265" s="232">
        <f>E265/D265</f>
        <v>1</v>
      </c>
      <c r="G265" s="182"/>
      <c r="H265" s="182"/>
      <c r="I265" s="182"/>
      <c r="J265" s="182"/>
      <c r="K265" s="487">
        <v>0.5</v>
      </c>
      <c r="L265" s="183"/>
    </row>
    <row r="266" spans="1:12" ht="52.8" x14ac:dyDescent="0.3">
      <c r="A266" s="719"/>
      <c r="B266" s="14" t="s">
        <v>164</v>
      </c>
      <c r="C266" s="82" t="s">
        <v>26</v>
      </c>
      <c r="D266" s="472">
        <v>13.3</v>
      </c>
      <c r="E266" s="473">
        <v>13.3</v>
      </c>
      <c r="F266" s="232">
        <f>E266/D266</f>
        <v>1</v>
      </c>
      <c r="G266" s="182"/>
      <c r="H266" s="182"/>
      <c r="I266" s="182"/>
      <c r="J266" s="182"/>
      <c r="K266" s="487">
        <v>0.5</v>
      </c>
      <c r="L266" s="183"/>
    </row>
    <row r="267" spans="1:12" ht="15" thickBot="1" x14ac:dyDescent="0.35">
      <c r="A267" s="720"/>
      <c r="B267" s="570" t="s">
        <v>300</v>
      </c>
      <c r="C267" s="590"/>
      <c r="D267" s="644"/>
      <c r="E267" s="645"/>
      <c r="F267" s="581"/>
      <c r="G267" s="574"/>
      <c r="H267" s="574"/>
      <c r="I267" s="574"/>
      <c r="J267" s="583">
        <f>(0.5*F265+0.5*F266)/F259</f>
        <v>1</v>
      </c>
      <c r="K267" s="600"/>
      <c r="L267" s="598"/>
    </row>
    <row r="268" spans="1:12" ht="79.2" x14ac:dyDescent="0.3">
      <c r="A268" s="718">
        <v>19</v>
      </c>
      <c r="B268" s="25" t="s">
        <v>165</v>
      </c>
      <c r="C268" s="29"/>
      <c r="D268" s="646"/>
      <c r="E268" s="647"/>
      <c r="F268" s="248"/>
      <c r="G268" s="178"/>
      <c r="H268" s="178"/>
      <c r="I268" s="178"/>
      <c r="J268" s="669" t="s">
        <v>308</v>
      </c>
      <c r="K268" s="178"/>
      <c r="L268" s="462" t="s">
        <v>304</v>
      </c>
    </row>
    <row r="269" spans="1:12" x14ac:dyDescent="0.3">
      <c r="A269" s="719"/>
      <c r="B269" s="191" t="s">
        <v>19</v>
      </c>
      <c r="C269" s="192" t="s">
        <v>20</v>
      </c>
      <c r="D269" s="264">
        <f t="shared" ref="D269:E269" si="33">SUM(D270:D273)</f>
        <v>9978</v>
      </c>
      <c r="E269" s="264">
        <f t="shared" si="33"/>
        <v>9820.0999999999985</v>
      </c>
      <c r="F269" s="201">
        <f>E269/D269</f>
        <v>0.98417518540789728</v>
      </c>
      <c r="G269" s="195"/>
      <c r="H269" s="195"/>
      <c r="I269" s="195"/>
      <c r="J269" s="195"/>
      <c r="K269" s="195"/>
      <c r="L269" s="272"/>
    </row>
    <row r="270" spans="1:12" x14ac:dyDescent="0.3">
      <c r="A270" s="719"/>
      <c r="B270" s="11" t="s">
        <v>21</v>
      </c>
      <c r="C270" s="181" t="s">
        <v>20</v>
      </c>
      <c r="D270" s="159">
        <v>2532.6</v>
      </c>
      <c r="E270" s="185">
        <v>2530.6</v>
      </c>
      <c r="F270" s="202">
        <f>E270/D270</f>
        <v>0.99921029771776038</v>
      </c>
      <c r="G270" s="182"/>
      <c r="H270" s="182"/>
      <c r="I270" s="182"/>
      <c r="J270" s="182"/>
      <c r="K270" s="182"/>
      <c r="L270" s="183"/>
    </row>
    <row r="271" spans="1:12" x14ac:dyDescent="0.3">
      <c r="A271" s="719"/>
      <c r="B271" s="11" t="s">
        <v>74</v>
      </c>
      <c r="C271" s="181" t="s">
        <v>20</v>
      </c>
      <c r="D271" s="159">
        <v>5016.8</v>
      </c>
      <c r="E271" s="185">
        <v>4882.3</v>
      </c>
      <c r="F271" s="202">
        <f>E271/D271</f>
        <v>0.97319008132674212</v>
      </c>
      <c r="G271" s="182"/>
      <c r="H271" s="182"/>
      <c r="I271" s="182"/>
      <c r="J271" s="182"/>
      <c r="K271" s="182"/>
      <c r="L271" s="183"/>
    </row>
    <row r="272" spans="1:12" x14ac:dyDescent="0.3">
      <c r="A272" s="719"/>
      <c r="B272" s="11" t="s">
        <v>35</v>
      </c>
      <c r="C272" s="181" t="s">
        <v>20</v>
      </c>
      <c r="D272" s="159">
        <v>2428.6</v>
      </c>
      <c r="E272" s="185">
        <v>2407.1999999999998</v>
      </c>
      <c r="F272" s="202">
        <f>E272/D272</f>
        <v>0.99118833896071812</v>
      </c>
      <c r="G272" s="182"/>
      <c r="H272" s="182"/>
      <c r="I272" s="182"/>
      <c r="J272" s="182"/>
      <c r="K272" s="182"/>
      <c r="L272" s="183"/>
    </row>
    <row r="273" spans="1:12" x14ac:dyDescent="0.3">
      <c r="A273" s="719"/>
      <c r="B273" s="11" t="s">
        <v>166</v>
      </c>
      <c r="C273" s="181" t="s">
        <v>20</v>
      </c>
      <c r="D273" s="159">
        <v>0</v>
      </c>
      <c r="E273" s="181">
        <v>0</v>
      </c>
      <c r="F273" s="202">
        <v>0</v>
      </c>
      <c r="G273" s="182"/>
      <c r="H273" s="182"/>
      <c r="I273" s="182"/>
      <c r="J273" s="182"/>
      <c r="K273" s="182"/>
      <c r="L273" s="183"/>
    </row>
    <row r="274" spans="1:12" x14ac:dyDescent="0.3">
      <c r="A274" s="719"/>
      <c r="B274" s="127" t="s">
        <v>24</v>
      </c>
      <c r="C274" s="26"/>
      <c r="D274" s="243"/>
      <c r="E274" s="26"/>
      <c r="F274" s="250"/>
      <c r="G274" s="24"/>
      <c r="H274" s="24"/>
      <c r="I274" s="24"/>
      <c r="J274" s="24"/>
      <c r="K274" s="458">
        <f>SUM(K275:K276)</f>
        <v>1.5</v>
      </c>
      <c r="L274" s="27"/>
    </row>
    <row r="275" spans="1:12" ht="52.8" x14ac:dyDescent="0.3">
      <c r="A275" s="719"/>
      <c r="B275" s="58" t="s">
        <v>167</v>
      </c>
      <c r="C275" s="13" t="s">
        <v>26</v>
      </c>
      <c r="D275" s="244">
        <v>100</v>
      </c>
      <c r="E275" s="13">
        <v>100</v>
      </c>
      <c r="F275" s="202">
        <f>E275/D275</f>
        <v>1</v>
      </c>
      <c r="G275" s="182"/>
      <c r="H275" s="182"/>
      <c r="I275" s="182"/>
      <c r="J275" s="182"/>
      <c r="K275" s="694">
        <v>0.5</v>
      </c>
      <c r="L275" s="187"/>
    </row>
    <row r="276" spans="1:12" ht="39.6" x14ac:dyDescent="0.3">
      <c r="A276" s="719"/>
      <c r="B276" s="58" t="s">
        <v>168</v>
      </c>
      <c r="C276" s="13" t="s">
        <v>169</v>
      </c>
      <c r="D276" s="244">
        <v>20</v>
      </c>
      <c r="E276" s="5">
        <v>42.8</v>
      </c>
      <c r="F276" s="202">
        <f>E276/D276</f>
        <v>2.1399999999999997</v>
      </c>
      <c r="G276" s="182"/>
      <c r="H276" s="182"/>
      <c r="I276" s="182"/>
      <c r="J276" s="182"/>
      <c r="K276" s="694">
        <v>1</v>
      </c>
      <c r="L276" s="187"/>
    </row>
    <row r="277" spans="1:12" ht="15" thickBot="1" x14ac:dyDescent="0.35">
      <c r="A277" s="720"/>
      <c r="B277" s="648" t="s">
        <v>300</v>
      </c>
      <c r="C277" s="571"/>
      <c r="D277" s="692"/>
      <c r="E277" s="693"/>
      <c r="F277" s="594"/>
      <c r="G277" s="574"/>
      <c r="H277" s="574"/>
      <c r="I277" s="574"/>
      <c r="J277" s="575">
        <f>(0.5*F275+0.5*F276)/F269</f>
        <v>1.5952444476125498</v>
      </c>
      <c r="K277" s="574"/>
      <c r="L277" s="598"/>
    </row>
    <row r="278" spans="1:12" ht="92.4" x14ac:dyDescent="0.3">
      <c r="A278" s="767">
        <v>20</v>
      </c>
      <c r="B278" s="25" t="s">
        <v>256</v>
      </c>
      <c r="C278" s="186"/>
      <c r="D278" s="241"/>
      <c r="E278" s="2"/>
      <c r="F278" s="248"/>
      <c r="G278" s="178"/>
      <c r="H278" s="178"/>
      <c r="I278" s="178"/>
      <c r="J278" s="669" t="s">
        <v>307</v>
      </c>
      <c r="K278" s="178"/>
      <c r="L278" s="462" t="s">
        <v>304</v>
      </c>
    </row>
    <row r="279" spans="1:12" x14ac:dyDescent="0.3">
      <c r="A279" s="768"/>
      <c r="B279" s="191" t="s">
        <v>19</v>
      </c>
      <c r="C279" s="192" t="s">
        <v>20</v>
      </c>
      <c r="D279" s="398">
        <f t="shared" ref="D279:E279" si="34">SUM(D280:D283)</f>
        <v>35218.559999999998</v>
      </c>
      <c r="E279" s="398">
        <f t="shared" si="34"/>
        <v>35218.559999999998</v>
      </c>
      <c r="F279" s="201">
        <f>E279/D279</f>
        <v>1</v>
      </c>
      <c r="G279" s="182"/>
      <c r="H279" s="182"/>
      <c r="I279" s="182"/>
      <c r="J279" s="182"/>
      <c r="K279" s="182"/>
      <c r="L279" s="183"/>
    </row>
    <row r="280" spans="1:12" ht="39.6" x14ac:dyDescent="0.3">
      <c r="A280" s="768"/>
      <c r="B280" s="392" t="s">
        <v>253</v>
      </c>
      <c r="C280" s="181" t="s">
        <v>20</v>
      </c>
      <c r="D280" s="399">
        <v>19498</v>
      </c>
      <c r="E280" s="399">
        <v>19498</v>
      </c>
      <c r="F280" s="202">
        <f>E280/D280</f>
        <v>1</v>
      </c>
      <c r="G280" s="182"/>
      <c r="H280" s="182"/>
      <c r="I280" s="182"/>
      <c r="J280" s="182"/>
      <c r="K280" s="182"/>
      <c r="L280" s="183"/>
    </row>
    <row r="281" spans="1:12" x14ac:dyDescent="0.3">
      <c r="A281" s="768"/>
      <c r="B281" s="11" t="s">
        <v>74</v>
      </c>
      <c r="C281" s="181" t="s">
        <v>20</v>
      </c>
      <c r="D281" s="399">
        <v>6269.73</v>
      </c>
      <c r="E281" s="399">
        <v>6269.73</v>
      </c>
      <c r="F281" s="202">
        <f>E281/D281</f>
        <v>1</v>
      </c>
      <c r="G281" s="182"/>
      <c r="H281" s="182"/>
      <c r="I281" s="182"/>
      <c r="J281" s="182"/>
      <c r="K281" s="182"/>
      <c r="L281" s="187"/>
    </row>
    <row r="282" spans="1:12" x14ac:dyDescent="0.3">
      <c r="A282" s="768"/>
      <c r="B282" s="11" t="s">
        <v>35</v>
      </c>
      <c r="C282" s="181" t="s">
        <v>20</v>
      </c>
      <c r="D282" s="399">
        <v>6536.5</v>
      </c>
      <c r="E282" s="399">
        <v>6536.5</v>
      </c>
      <c r="F282" s="202">
        <f>E282/D282</f>
        <v>1</v>
      </c>
      <c r="G282" s="182"/>
      <c r="H282" s="182"/>
      <c r="I282" s="182"/>
      <c r="J282" s="182"/>
      <c r="K282" s="182"/>
      <c r="L282" s="183"/>
    </row>
    <row r="283" spans="1:12" x14ac:dyDescent="0.3">
      <c r="A283" s="768"/>
      <c r="B283" s="11" t="s">
        <v>161</v>
      </c>
      <c r="C283" s="181" t="s">
        <v>20</v>
      </c>
      <c r="D283" s="399">
        <v>2914.33</v>
      </c>
      <c r="E283" s="399">
        <v>2914.33</v>
      </c>
      <c r="F283" s="202">
        <f>E283/D283</f>
        <v>1</v>
      </c>
      <c r="G283" s="182"/>
      <c r="H283" s="182"/>
      <c r="I283" s="182"/>
      <c r="J283" s="182"/>
      <c r="K283" s="182"/>
      <c r="L283" s="183"/>
    </row>
    <row r="284" spans="1:12" x14ac:dyDescent="0.3">
      <c r="A284" s="768"/>
      <c r="B284" s="265" t="s">
        <v>75</v>
      </c>
      <c r="C284" s="26"/>
      <c r="D284" s="243"/>
      <c r="E284" s="48"/>
      <c r="F284" s="250"/>
      <c r="G284" s="458">
        <v>4</v>
      </c>
      <c r="H284" s="458">
        <v>4</v>
      </c>
      <c r="I284" s="458">
        <v>0</v>
      </c>
      <c r="J284" s="458"/>
      <c r="K284" s="458">
        <f>SUM(K285:K288)</f>
        <v>2</v>
      </c>
      <c r="L284" s="459"/>
    </row>
    <row r="285" spans="1:12" ht="66" x14ac:dyDescent="0.3">
      <c r="A285" s="768"/>
      <c r="B285" s="14" t="s">
        <v>227</v>
      </c>
      <c r="C285" s="13" t="s">
        <v>26</v>
      </c>
      <c r="D285" s="275">
        <v>4.2</v>
      </c>
      <c r="E285" s="219">
        <v>4.2</v>
      </c>
      <c r="F285" s="220">
        <f>E285/D285</f>
        <v>1</v>
      </c>
      <c r="G285" s="182"/>
      <c r="H285" s="182"/>
      <c r="I285" s="182"/>
      <c r="J285" s="182"/>
      <c r="K285" s="487">
        <v>0.5</v>
      </c>
      <c r="L285" s="183"/>
    </row>
    <row r="286" spans="1:12" ht="79.2" x14ac:dyDescent="0.3">
      <c r="A286" s="768"/>
      <c r="B286" s="14" t="s">
        <v>170</v>
      </c>
      <c r="C286" s="13" t="s">
        <v>26</v>
      </c>
      <c r="D286" s="275">
        <v>100</v>
      </c>
      <c r="E286" s="82">
        <v>100</v>
      </c>
      <c r="F286" s="220">
        <f>E286/D286</f>
        <v>1</v>
      </c>
      <c r="G286" s="182"/>
      <c r="H286" s="182"/>
      <c r="I286" s="182"/>
      <c r="J286" s="182"/>
      <c r="K286" s="487">
        <v>0.5</v>
      </c>
      <c r="L286" s="183"/>
    </row>
    <row r="287" spans="1:12" ht="52.8" x14ac:dyDescent="0.3">
      <c r="A287" s="768"/>
      <c r="B287" s="14" t="s">
        <v>171</v>
      </c>
      <c r="C287" s="13" t="s">
        <v>26</v>
      </c>
      <c r="D287" s="275">
        <v>23</v>
      </c>
      <c r="E287" s="219">
        <v>23</v>
      </c>
      <c r="F287" s="220">
        <f>E287/D287</f>
        <v>1</v>
      </c>
      <c r="G287" s="182"/>
      <c r="H287" s="182"/>
      <c r="I287" s="182"/>
      <c r="J287" s="182"/>
      <c r="K287" s="487">
        <v>0.5</v>
      </c>
      <c r="L287" s="183"/>
    </row>
    <row r="288" spans="1:12" ht="39.6" x14ac:dyDescent="0.3">
      <c r="A288" s="768"/>
      <c r="B288" s="14" t="s">
        <v>172</v>
      </c>
      <c r="C288" s="13" t="s">
        <v>64</v>
      </c>
      <c r="D288" s="275">
        <v>8</v>
      </c>
      <c r="E288" s="82">
        <v>8</v>
      </c>
      <c r="F288" s="220">
        <f>E288/D288</f>
        <v>1</v>
      </c>
      <c r="G288" s="182"/>
      <c r="H288" s="182"/>
      <c r="I288" s="182"/>
      <c r="J288" s="182"/>
      <c r="K288" s="487">
        <v>0.5</v>
      </c>
      <c r="L288" s="183"/>
    </row>
    <row r="289" spans="1:12" ht="15" thickBot="1" x14ac:dyDescent="0.35">
      <c r="A289" s="769"/>
      <c r="B289" s="570" t="s">
        <v>300</v>
      </c>
      <c r="C289" s="571"/>
      <c r="D289" s="597"/>
      <c r="E289" s="590"/>
      <c r="F289" s="581"/>
      <c r="G289" s="574"/>
      <c r="H289" s="574"/>
      <c r="I289" s="574"/>
      <c r="J289" s="617">
        <v>1</v>
      </c>
      <c r="K289" s="600"/>
      <c r="L289" s="598"/>
    </row>
    <row r="290" spans="1:12" ht="79.2" x14ac:dyDescent="0.3">
      <c r="A290" s="718">
        <v>21</v>
      </c>
      <c r="B290" s="25" t="s">
        <v>257</v>
      </c>
      <c r="C290" s="186"/>
      <c r="D290" s="241"/>
      <c r="E290" s="2"/>
      <c r="F290" s="248"/>
      <c r="G290" s="178"/>
      <c r="H290" s="178"/>
      <c r="I290" s="178"/>
      <c r="J290" s="669" t="s">
        <v>308</v>
      </c>
      <c r="K290" s="178"/>
      <c r="L290" s="462" t="s">
        <v>304</v>
      </c>
    </row>
    <row r="291" spans="1:12" x14ac:dyDescent="0.3">
      <c r="A291" s="719"/>
      <c r="B291" s="191" t="s">
        <v>160</v>
      </c>
      <c r="C291" s="192" t="s">
        <v>20</v>
      </c>
      <c r="D291" s="398">
        <f>SUM(D292:D294)</f>
        <v>17751.7</v>
      </c>
      <c r="E291" s="398">
        <f>SUM(E292:E294)</f>
        <v>17309.300000000003</v>
      </c>
      <c r="F291" s="201">
        <f>E291/D291</f>
        <v>0.97507844319135639</v>
      </c>
      <c r="G291" s="195"/>
      <c r="H291" s="195"/>
      <c r="I291" s="195"/>
      <c r="J291" s="195"/>
      <c r="K291" s="195"/>
      <c r="L291" s="272"/>
    </row>
    <row r="292" spans="1:12" ht="52.8" x14ac:dyDescent="0.3">
      <c r="A292" s="719"/>
      <c r="B292" s="400" t="s">
        <v>247</v>
      </c>
      <c r="C292" s="181" t="s">
        <v>20</v>
      </c>
      <c r="D292" s="399">
        <v>9479.1</v>
      </c>
      <c r="E292" s="399">
        <v>9375.5</v>
      </c>
      <c r="F292" s="202">
        <f>E292/D292</f>
        <v>0.98907069236530887</v>
      </c>
      <c r="G292" s="182"/>
      <c r="H292" s="182"/>
      <c r="I292" s="182"/>
      <c r="J292" s="182"/>
      <c r="K292" s="182"/>
      <c r="L292" s="183"/>
    </row>
    <row r="293" spans="1:12" x14ac:dyDescent="0.3">
      <c r="A293" s="719"/>
      <c r="B293" s="11" t="s">
        <v>74</v>
      </c>
      <c r="C293" s="181" t="s">
        <v>20</v>
      </c>
      <c r="D293" s="399">
        <v>1769</v>
      </c>
      <c r="E293" s="399">
        <v>1749.7</v>
      </c>
      <c r="F293" s="202">
        <f>E293/D293</f>
        <v>0.98908988128886377</v>
      </c>
      <c r="G293" s="182"/>
      <c r="H293" s="182"/>
      <c r="I293" s="182"/>
      <c r="J293" s="182"/>
      <c r="K293" s="182"/>
      <c r="L293" s="187"/>
    </row>
    <row r="294" spans="1:12" x14ac:dyDescent="0.3">
      <c r="A294" s="719"/>
      <c r="B294" s="11" t="s">
        <v>35</v>
      </c>
      <c r="C294" s="181" t="s">
        <v>20</v>
      </c>
      <c r="D294" s="399">
        <v>6503.6</v>
      </c>
      <c r="E294" s="399">
        <v>6184.1</v>
      </c>
      <c r="F294" s="202">
        <f>E294/D294</f>
        <v>0.95087336244541487</v>
      </c>
      <c r="G294" s="182"/>
      <c r="H294" s="182"/>
      <c r="I294" s="182"/>
      <c r="J294" s="182"/>
      <c r="K294" s="182"/>
      <c r="L294" s="183"/>
    </row>
    <row r="295" spans="1:12" x14ac:dyDescent="0.3">
      <c r="A295" s="719"/>
      <c r="B295" s="278" t="s">
        <v>75</v>
      </c>
      <c r="C295" s="279"/>
      <c r="D295" s="281"/>
      <c r="E295" s="280"/>
      <c r="F295" s="251"/>
      <c r="G295" s="458">
        <v>3</v>
      </c>
      <c r="H295" s="458">
        <v>2</v>
      </c>
      <c r="I295" s="458">
        <v>1</v>
      </c>
      <c r="J295" s="458"/>
      <c r="K295" s="458">
        <f>SUM(K296:K298)</f>
        <v>1</v>
      </c>
      <c r="L295" s="282"/>
    </row>
    <row r="296" spans="1:12" ht="79.2" x14ac:dyDescent="0.3">
      <c r="A296" s="719"/>
      <c r="B296" s="405" t="s">
        <v>173</v>
      </c>
      <c r="C296" s="13" t="s">
        <v>174</v>
      </c>
      <c r="D296" s="275">
        <v>460.4</v>
      </c>
      <c r="E296" s="219">
        <v>460.4</v>
      </c>
      <c r="F296" s="232">
        <f>E296/D296</f>
        <v>1</v>
      </c>
      <c r="G296" s="117"/>
      <c r="H296" s="182"/>
      <c r="I296" s="182"/>
      <c r="J296" s="182"/>
      <c r="K296" s="487">
        <v>0.5</v>
      </c>
      <c r="L296" s="183"/>
    </row>
    <row r="297" spans="1:12" ht="145.19999999999999" x14ac:dyDescent="0.3">
      <c r="A297" s="719"/>
      <c r="B297" s="406" t="s">
        <v>175</v>
      </c>
      <c r="C297" s="13" t="s">
        <v>174</v>
      </c>
      <c r="D297" s="275">
        <v>554</v>
      </c>
      <c r="E297" s="275">
        <v>661</v>
      </c>
      <c r="F297" s="232">
        <f>E297/D297</f>
        <v>1.1931407942238268</v>
      </c>
      <c r="G297" s="117"/>
      <c r="H297" s="182"/>
      <c r="I297" s="182"/>
      <c r="J297" s="182"/>
      <c r="K297" s="487">
        <v>0</v>
      </c>
      <c r="L297" s="183"/>
    </row>
    <row r="298" spans="1:12" ht="39.6" x14ac:dyDescent="0.3">
      <c r="A298" s="719"/>
      <c r="B298" s="405" t="s">
        <v>176</v>
      </c>
      <c r="C298" s="45" t="s">
        <v>30</v>
      </c>
      <c r="D298" s="275">
        <v>38</v>
      </c>
      <c r="E298" s="82">
        <v>38</v>
      </c>
      <c r="F298" s="232">
        <f>E298/D298</f>
        <v>1</v>
      </c>
      <c r="G298" s="117"/>
      <c r="H298" s="182"/>
      <c r="I298" s="182"/>
      <c r="J298" s="182"/>
      <c r="K298" s="487">
        <v>0.5</v>
      </c>
      <c r="L298" s="183"/>
    </row>
    <row r="299" spans="1:12" ht="15" thickBot="1" x14ac:dyDescent="0.35">
      <c r="A299" s="720"/>
      <c r="B299" s="649" t="s">
        <v>300</v>
      </c>
      <c r="C299" s="589"/>
      <c r="D299" s="597"/>
      <c r="E299" s="590"/>
      <c r="F299" s="581"/>
      <c r="G299" s="594"/>
      <c r="H299" s="574"/>
      <c r="I299" s="574"/>
      <c r="J299" s="569">
        <f>(0.2*F296+0.5*F297+0.2*F298)/F291</f>
        <v>1.0220412563426338</v>
      </c>
      <c r="K299" s="600"/>
      <c r="L299" s="598"/>
    </row>
    <row r="300" spans="1:12" ht="66" x14ac:dyDescent="0.3">
      <c r="A300" s="731" t="s">
        <v>177</v>
      </c>
      <c r="B300" s="448" t="s">
        <v>178</v>
      </c>
      <c r="C300" s="317"/>
      <c r="D300" s="319"/>
      <c r="E300" s="318"/>
      <c r="F300" s="258"/>
      <c r="G300" s="72"/>
      <c r="H300" s="72"/>
      <c r="I300" s="72"/>
      <c r="J300" s="518"/>
      <c r="K300" s="518"/>
      <c r="L300" s="449"/>
    </row>
    <row r="301" spans="1:12" x14ac:dyDescent="0.3">
      <c r="A301" s="731"/>
      <c r="B301" s="191" t="s">
        <v>19</v>
      </c>
      <c r="C301" s="192" t="s">
        <v>20</v>
      </c>
      <c r="D301" s="398">
        <f>SUM(D302:D304)</f>
        <v>72004.5</v>
      </c>
      <c r="E301" s="398">
        <f>SUM(E302:E304)</f>
        <v>71723.399999999994</v>
      </c>
      <c r="F301" s="201">
        <f>E301/D301</f>
        <v>0.99609607732850025</v>
      </c>
      <c r="G301" s="336"/>
      <c r="H301" s="336"/>
      <c r="I301" s="336"/>
      <c r="J301" s="519"/>
      <c r="K301" s="519"/>
      <c r="L301" s="337"/>
    </row>
    <row r="302" spans="1:12" x14ac:dyDescent="0.3">
      <c r="A302" s="731"/>
      <c r="B302" s="11" t="s">
        <v>21</v>
      </c>
      <c r="C302" s="181" t="s">
        <v>20</v>
      </c>
      <c r="D302" s="399">
        <f t="shared" ref="D302:E302" si="35">D319</f>
        <v>800</v>
      </c>
      <c r="E302" s="399">
        <f t="shared" si="35"/>
        <v>800</v>
      </c>
      <c r="F302" s="202">
        <f>E302/D302</f>
        <v>1</v>
      </c>
      <c r="G302" s="132"/>
      <c r="H302" s="132"/>
      <c r="I302" s="132"/>
      <c r="J302" s="520"/>
      <c r="K302" s="520"/>
      <c r="L302" s="133"/>
    </row>
    <row r="303" spans="1:12" x14ac:dyDescent="0.3">
      <c r="A303" s="731"/>
      <c r="B303" s="11" t="s">
        <v>74</v>
      </c>
      <c r="C303" s="181" t="s">
        <v>20</v>
      </c>
      <c r="D303" s="399">
        <f>D308+D320+D330+D339</f>
        <v>54025.5</v>
      </c>
      <c r="E303" s="399">
        <f>E308+E320+E330+E339</f>
        <v>53744.4</v>
      </c>
      <c r="F303" s="202">
        <f>E303/D303</f>
        <v>0.99479690146319799</v>
      </c>
      <c r="G303" s="139"/>
      <c r="H303" s="139"/>
      <c r="I303" s="139"/>
      <c r="J303" s="512"/>
      <c r="K303" s="512"/>
      <c r="L303" s="133"/>
    </row>
    <row r="304" spans="1:12" x14ac:dyDescent="0.3">
      <c r="A304" s="731"/>
      <c r="B304" s="11" t="s">
        <v>35</v>
      </c>
      <c r="C304" s="181" t="s">
        <v>20</v>
      </c>
      <c r="D304" s="399">
        <f>D309+D321+D331+D340</f>
        <v>17179</v>
      </c>
      <c r="E304" s="399">
        <f>E309+E321+E331+E340</f>
        <v>17179</v>
      </c>
      <c r="F304" s="202">
        <f>E304/D304</f>
        <v>1</v>
      </c>
      <c r="G304" s="132"/>
      <c r="H304" s="132"/>
      <c r="I304" s="132"/>
      <c r="J304" s="520"/>
      <c r="K304" s="520"/>
      <c r="L304" s="133"/>
    </row>
    <row r="305" spans="1:12" ht="40.200000000000003" thickBot="1" x14ac:dyDescent="0.35">
      <c r="A305" s="732"/>
      <c r="B305" s="12" t="s">
        <v>36</v>
      </c>
      <c r="C305" s="13" t="s">
        <v>26</v>
      </c>
      <c r="D305" s="244"/>
      <c r="E305" s="134"/>
      <c r="F305" s="249"/>
      <c r="G305" s="182"/>
      <c r="H305" s="182"/>
      <c r="I305" s="182"/>
      <c r="J305" s="516"/>
      <c r="K305" s="516"/>
      <c r="L305" s="183"/>
    </row>
    <row r="306" spans="1:12" ht="71.25" customHeight="1" x14ac:dyDescent="0.3">
      <c r="A306" s="718">
        <v>22</v>
      </c>
      <c r="B306" s="25" t="s">
        <v>179</v>
      </c>
      <c r="C306" s="186"/>
      <c r="D306" s="241"/>
      <c r="E306" s="2"/>
      <c r="F306" s="248"/>
      <c r="G306" s="178"/>
      <c r="H306" s="178"/>
      <c r="I306" s="178"/>
      <c r="J306" s="669" t="s">
        <v>311</v>
      </c>
      <c r="K306" s="178"/>
      <c r="L306" s="462" t="s">
        <v>304</v>
      </c>
    </row>
    <row r="307" spans="1:12" x14ac:dyDescent="0.3">
      <c r="A307" s="719"/>
      <c r="B307" s="263" t="s">
        <v>19</v>
      </c>
      <c r="C307" s="192" t="s">
        <v>20</v>
      </c>
      <c r="D307" s="398">
        <f>SUM(D308:D309)</f>
        <v>2932</v>
      </c>
      <c r="E307" s="398">
        <f>SUM(E308:E309)</f>
        <v>2932</v>
      </c>
      <c r="F307" s="201">
        <f>E307/D307</f>
        <v>1</v>
      </c>
      <c r="G307" s="195"/>
      <c r="H307" s="195"/>
      <c r="I307" s="195"/>
      <c r="J307" s="195"/>
      <c r="K307" s="195"/>
      <c r="L307" s="272"/>
    </row>
    <row r="308" spans="1:12" x14ac:dyDescent="0.3">
      <c r="A308" s="719"/>
      <c r="B308" s="10" t="s">
        <v>22</v>
      </c>
      <c r="C308" s="181" t="s">
        <v>49</v>
      </c>
      <c r="D308" s="399">
        <v>0</v>
      </c>
      <c r="E308" s="399">
        <v>0</v>
      </c>
      <c r="F308" s="202">
        <v>1</v>
      </c>
      <c r="G308" s="182"/>
      <c r="H308" s="182"/>
      <c r="I308" s="182"/>
      <c r="J308" s="182"/>
      <c r="K308" s="182"/>
      <c r="L308" s="183"/>
    </row>
    <row r="309" spans="1:12" x14ac:dyDescent="0.3">
      <c r="A309" s="719"/>
      <c r="B309" s="10" t="s">
        <v>180</v>
      </c>
      <c r="C309" s="181" t="s">
        <v>20</v>
      </c>
      <c r="D309" s="399">
        <v>2932</v>
      </c>
      <c r="E309" s="399">
        <v>2932</v>
      </c>
      <c r="F309" s="202">
        <f>E309/D309</f>
        <v>1</v>
      </c>
      <c r="G309" s="182"/>
      <c r="H309" s="182"/>
      <c r="I309" s="182"/>
      <c r="J309" s="182"/>
      <c r="K309" s="182"/>
      <c r="L309" s="183"/>
    </row>
    <row r="310" spans="1:12" x14ac:dyDescent="0.3">
      <c r="A310" s="719"/>
      <c r="B310" s="61" t="s">
        <v>24</v>
      </c>
      <c r="C310" s="26"/>
      <c r="D310" s="243"/>
      <c r="E310" s="26"/>
      <c r="F310" s="250"/>
      <c r="G310" s="458">
        <v>5</v>
      </c>
      <c r="H310" s="458">
        <v>5</v>
      </c>
      <c r="I310" s="458">
        <v>0</v>
      </c>
      <c r="J310" s="458"/>
      <c r="K310" s="458">
        <f>SUM(K311:K315)</f>
        <v>2.5</v>
      </c>
      <c r="L310" s="27"/>
    </row>
    <row r="311" spans="1:12" ht="39.6" x14ac:dyDescent="0.3">
      <c r="A311" s="719"/>
      <c r="B311" s="403" t="s">
        <v>181</v>
      </c>
      <c r="C311" s="13" t="s">
        <v>26</v>
      </c>
      <c r="D311" s="275">
        <v>84</v>
      </c>
      <c r="E311" s="219">
        <v>84</v>
      </c>
      <c r="F311" s="257">
        <f>E311/D311</f>
        <v>1</v>
      </c>
      <c r="G311" s="182"/>
      <c r="H311" s="182"/>
      <c r="I311" s="182"/>
      <c r="J311" s="182"/>
      <c r="K311" s="487">
        <v>0.5</v>
      </c>
      <c r="L311" s="183"/>
    </row>
    <row r="312" spans="1:12" ht="39.6" x14ac:dyDescent="0.3">
      <c r="A312" s="719"/>
      <c r="B312" s="403" t="s">
        <v>182</v>
      </c>
      <c r="C312" s="13" t="s">
        <v>26</v>
      </c>
      <c r="D312" s="275">
        <v>42.9</v>
      </c>
      <c r="E312" s="219">
        <v>42.9</v>
      </c>
      <c r="F312" s="257">
        <f>E312/D312</f>
        <v>1</v>
      </c>
      <c r="G312" s="182"/>
      <c r="H312" s="182"/>
      <c r="I312" s="182"/>
      <c r="J312" s="182"/>
      <c r="K312" s="487">
        <v>0.5</v>
      </c>
      <c r="L312" s="183"/>
    </row>
    <row r="313" spans="1:12" ht="39.6" x14ac:dyDescent="0.3">
      <c r="A313" s="719"/>
      <c r="B313" s="403" t="s">
        <v>183</v>
      </c>
      <c r="C313" s="13" t="s">
        <v>26</v>
      </c>
      <c r="D313" s="275">
        <v>100</v>
      </c>
      <c r="E313" s="219">
        <v>100</v>
      </c>
      <c r="F313" s="257">
        <f>E313/D313</f>
        <v>1</v>
      </c>
      <c r="G313" s="182"/>
      <c r="H313" s="182"/>
      <c r="I313" s="182"/>
      <c r="J313" s="182"/>
      <c r="K313" s="487">
        <v>0.5</v>
      </c>
      <c r="L313" s="183"/>
    </row>
    <row r="314" spans="1:12" ht="52.8" x14ac:dyDescent="0.3">
      <c r="A314" s="719"/>
      <c r="B314" s="403" t="s">
        <v>184</v>
      </c>
      <c r="C314" s="13" t="s">
        <v>26</v>
      </c>
      <c r="D314" s="275">
        <v>95</v>
      </c>
      <c r="E314" s="219">
        <v>95</v>
      </c>
      <c r="F314" s="257">
        <f>E314/D314</f>
        <v>1</v>
      </c>
      <c r="G314" s="182"/>
      <c r="H314" s="182"/>
      <c r="I314" s="182"/>
      <c r="J314" s="182"/>
      <c r="K314" s="487">
        <v>0.5</v>
      </c>
      <c r="L314" s="183"/>
    </row>
    <row r="315" spans="1:12" ht="39.6" x14ac:dyDescent="0.3">
      <c r="A315" s="719"/>
      <c r="B315" s="403" t="s">
        <v>185</v>
      </c>
      <c r="C315" s="13" t="s">
        <v>26</v>
      </c>
      <c r="D315" s="275">
        <v>80</v>
      </c>
      <c r="E315" s="219">
        <v>80</v>
      </c>
      <c r="F315" s="257">
        <f>E315/D315</f>
        <v>1</v>
      </c>
      <c r="G315" s="182"/>
      <c r="H315" s="182"/>
      <c r="I315" s="182"/>
      <c r="J315" s="182"/>
      <c r="K315" s="487">
        <v>0.5</v>
      </c>
      <c r="L315" s="183"/>
    </row>
    <row r="316" spans="1:12" ht="15" thickBot="1" x14ac:dyDescent="0.35">
      <c r="A316" s="720"/>
      <c r="B316" s="579" t="s">
        <v>300</v>
      </c>
      <c r="C316" s="571"/>
      <c r="D316" s="597"/>
      <c r="E316" s="580"/>
      <c r="F316" s="581"/>
      <c r="G316" s="574"/>
      <c r="H316" s="574"/>
      <c r="I316" s="574"/>
      <c r="J316" s="575">
        <f>(0.2*F311+0.2*F312+0.2*F313+0.2*F314+0.2*F315)/F308</f>
        <v>1</v>
      </c>
      <c r="K316" s="600"/>
      <c r="L316" s="598"/>
    </row>
    <row r="317" spans="1:12" ht="83.4" customHeight="1" x14ac:dyDescent="0.3">
      <c r="A317" s="767">
        <v>23</v>
      </c>
      <c r="B317" s="25" t="s">
        <v>186</v>
      </c>
      <c r="C317" s="186"/>
      <c r="D317" s="241"/>
      <c r="E317" s="2"/>
      <c r="F317" s="248"/>
      <c r="G317" s="178"/>
      <c r="H317" s="178"/>
      <c r="I317" s="178"/>
      <c r="J317" s="669" t="s">
        <v>308</v>
      </c>
      <c r="K317" s="178"/>
      <c r="L317" s="462" t="s">
        <v>304</v>
      </c>
    </row>
    <row r="318" spans="1:12" x14ac:dyDescent="0.3">
      <c r="A318" s="768"/>
      <c r="B318" s="263" t="s">
        <v>187</v>
      </c>
      <c r="C318" s="192" t="s">
        <v>20</v>
      </c>
      <c r="D318" s="423">
        <f t="shared" ref="D318" si="36">SUM(D319:D322)</f>
        <v>1220</v>
      </c>
      <c r="E318" s="423">
        <f>SUM(E319:E322)</f>
        <v>1220</v>
      </c>
      <c r="F318" s="201">
        <f>E318/D318</f>
        <v>1</v>
      </c>
      <c r="G318" s="195"/>
      <c r="H318" s="195"/>
      <c r="I318" s="195"/>
      <c r="J318" s="195"/>
      <c r="K318" s="195"/>
      <c r="L318" s="254"/>
    </row>
    <row r="319" spans="1:12" x14ac:dyDescent="0.3">
      <c r="A319" s="768"/>
      <c r="B319" s="147" t="s">
        <v>21</v>
      </c>
      <c r="C319" s="181" t="s">
        <v>20</v>
      </c>
      <c r="D319" s="394">
        <v>800</v>
      </c>
      <c r="E319" s="394">
        <v>800</v>
      </c>
      <c r="F319" s="202">
        <f>E319/D319</f>
        <v>1</v>
      </c>
      <c r="G319" s="182"/>
      <c r="H319" s="182"/>
      <c r="I319" s="182"/>
      <c r="J319" s="182"/>
      <c r="K319" s="182"/>
      <c r="L319" s="187"/>
    </row>
    <row r="320" spans="1:12" x14ac:dyDescent="0.3">
      <c r="A320" s="768"/>
      <c r="B320" s="147" t="s">
        <v>188</v>
      </c>
      <c r="C320" s="181" t="s">
        <v>20</v>
      </c>
      <c r="D320" s="394">
        <v>220</v>
      </c>
      <c r="E320" s="394">
        <v>220</v>
      </c>
      <c r="F320" s="202">
        <f>E320/D320</f>
        <v>1</v>
      </c>
      <c r="G320" s="182"/>
      <c r="H320" s="182"/>
      <c r="I320" s="182"/>
      <c r="J320" s="182"/>
      <c r="K320" s="182"/>
      <c r="L320" s="187"/>
    </row>
    <row r="321" spans="1:12" x14ac:dyDescent="0.3">
      <c r="A321" s="768"/>
      <c r="B321" s="147" t="s">
        <v>189</v>
      </c>
      <c r="C321" s="181" t="s">
        <v>20</v>
      </c>
      <c r="D321" s="394">
        <v>200</v>
      </c>
      <c r="E321" s="394">
        <v>200</v>
      </c>
      <c r="F321" s="202">
        <f>E321/D321</f>
        <v>1</v>
      </c>
      <c r="G321" s="182"/>
      <c r="H321" s="182"/>
      <c r="I321" s="182"/>
      <c r="J321" s="182"/>
      <c r="K321" s="182"/>
      <c r="L321" s="183"/>
    </row>
    <row r="322" spans="1:12" x14ac:dyDescent="0.3">
      <c r="A322" s="768"/>
      <c r="B322" s="147" t="s">
        <v>190</v>
      </c>
      <c r="C322" s="181" t="s">
        <v>20</v>
      </c>
      <c r="D322" s="394">
        <v>0</v>
      </c>
      <c r="E322" s="394">
        <v>0</v>
      </c>
      <c r="F322" s="202">
        <v>1</v>
      </c>
      <c r="G322" s="182"/>
      <c r="H322" s="182"/>
      <c r="I322" s="182"/>
      <c r="J322" s="182"/>
      <c r="K322" s="182"/>
      <c r="L322" s="183"/>
    </row>
    <row r="323" spans="1:12" x14ac:dyDescent="0.3">
      <c r="A323" s="768"/>
      <c r="B323" s="265" t="s">
        <v>24</v>
      </c>
      <c r="C323" s="216"/>
      <c r="D323" s="246"/>
      <c r="E323" s="216"/>
      <c r="F323" s="251"/>
      <c r="G323" s="458">
        <v>3</v>
      </c>
      <c r="H323" s="458">
        <v>3</v>
      </c>
      <c r="I323" s="458">
        <v>0</v>
      </c>
      <c r="J323" s="458"/>
      <c r="K323" s="458">
        <f>SUM(K324:K326)</f>
        <v>3</v>
      </c>
      <c r="L323" s="459"/>
    </row>
    <row r="324" spans="1:12" ht="26.4" x14ac:dyDescent="0.3">
      <c r="A324" s="768"/>
      <c r="B324" s="12" t="s">
        <v>191</v>
      </c>
      <c r="C324" s="151" t="s">
        <v>30</v>
      </c>
      <c r="D324" s="269">
        <v>4140.3</v>
      </c>
      <c r="E324" s="269">
        <v>5082</v>
      </c>
      <c r="F324" s="232">
        <f>E324/D324</f>
        <v>1.2274472864285195</v>
      </c>
      <c r="G324" s="182"/>
      <c r="H324" s="182"/>
      <c r="I324" s="182"/>
      <c r="J324" s="182"/>
      <c r="K324" s="487">
        <v>1</v>
      </c>
      <c r="L324" s="183"/>
    </row>
    <row r="325" spans="1:12" ht="39.6" x14ac:dyDescent="0.3">
      <c r="A325" s="768"/>
      <c r="B325" s="12" t="s">
        <v>192</v>
      </c>
      <c r="C325" s="151" t="s">
        <v>193</v>
      </c>
      <c r="D325" s="269">
        <v>3001</v>
      </c>
      <c r="E325" s="269">
        <v>3870.3</v>
      </c>
      <c r="F325" s="232">
        <f>E325/D325</f>
        <v>1.2896701099633456</v>
      </c>
      <c r="G325" s="182"/>
      <c r="H325" s="182"/>
      <c r="I325" s="182"/>
      <c r="J325" s="182"/>
      <c r="K325" s="487">
        <v>1</v>
      </c>
      <c r="L325" s="183"/>
    </row>
    <row r="326" spans="1:12" ht="52.8" x14ac:dyDescent="0.3">
      <c r="A326" s="768"/>
      <c r="B326" s="12" t="s">
        <v>194</v>
      </c>
      <c r="C326" s="151" t="s">
        <v>193</v>
      </c>
      <c r="D326" s="269">
        <v>24336</v>
      </c>
      <c r="E326" s="269">
        <v>27417.599999999999</v>
      </c>
      <c r="F326" s="232">
        <f>E326/D326</f>
        <v>1.1266272189349111</v>
      </c>
      <c r="G326" s="182"/>
      <c r="H326" s="182"/>
      <c r="I326" s="182"/>
      <c r="J326" s="182"/>
      <c r="K326" s="487">
        <v>1</v>
      </c>
      <c r="L326" s="183"/>
    </row>
    <row r="327" spans="1:12" ht="15" thickBot="1" x14ac:dyDescent="0.35">
      <c r="A327" s="769"/>
      <c r="B327" s="651" t="s">
        <v>300</v>
      </c>
      <c r="C327" s="571"/>
      <c r="D327" s="652"/>
      <c r="E327" s="652"/>
      <c r="F327" s="581"/>
      <c r="G327" s="574"/>
      <c r="H327" s="574"/>
      <c r="I327" s="574"/>
      <c r="J327" s="583">
        <f>(0.4*F324+0.3*F325+0.3*F326)/F318</f>
        <v>1.2158681132408848</v>
      </c>
      <c r="K327" s="600"/>
      <c r="L327" s="598"/>
    </row>
    <row r="328" spans="1:12" ht="53.25" customHeight="1" x14ac:dyDescent="0.3">
      <c r="A328" s="718">
        <v>24</v>
      </c>
      <c r="B328" s="25" t="s">
        <v>195</v>
      </c>
      <c r="C328" s="186"/>
      <c r="D328" s="241"/>
      <c r="E328" s="2"/>
      <c r="F328" s="248"/>
      <c r="G328" s="178"/>
      <c r="H328" s="178"/>
      <c r="I328" s="178"/>
      <c r="J328" s="669" t="s">
        <v>312</v>
      </c>
      <c r="K328" s="178"/>
      <c r="L328" s="462" t="s">
        <v>304</v>
      </c>
    </row>
    <row r="329" spans="1:12" x14ac:dyDescent="0.3">
      <c r="A329" s="719"/>
      <c r="B329" s="191" t="s">
        <v>19</v>
      </c>
      <c r="C329" s="192" t="s">
        <v>20</v>
      </c>
      <c r="D329" s="398">
        <f t="shared" ref="D329:E329" si="37">SUM(D330:D331)</f>
        <v>63610.400000000001</v>
      </c>
      <c r="E329" s="398">
        <f t="shared" si="37"/>
        <v>63329.3</v>
      </c>
      <c r="F329" s="201">
        <f>E329/D329</f>
        <v>0.99558091129752369</v>
      </c>
      <c r="G329" s="195"/>
      <c r="H329" s="195"/>
      <c r="I329" s="195"/>
      <c r="J329" s="195"/>
      <c r="K329" s="195"/>
      <c r="L329" s="272"/>
    </row>
    <row r="330" spans="1:12" x14ac:dyDescent="0.3">
      <c r="A330" s="719"/>
      <c r="B330" s="11" t="s">
        <v>74</v>
      </c>
      <c r="C330" s="181" t="s">
        <v>20</v>
      </c>
      <c r="D330" s="399">
        <v>52933</v>
      </c>
      <c r="E330" s="399">
        <v>52651.9</v>
      </c>
      <c r="F330" s="202">
        <f>E330/D330</f>
        <v>0.99468951315814336</v>
      </c>
      <c r="G330" s="182"/>
      <c r="H330" s="182"/>
      <c r="I330" s="182"/>
      <c r="J330" s="182"/>
      <c r="K330" s="182"/>
      <c r="L330" s="183"/>
    </row>
    <row r="331" spans="1:12" x14ac:dyDescent="0.3">
      <c r="A331" s="719"/>
      <c r="B331" s="11" t="s">
        <v>189</v>
      </c>
      <c r="C331" s="181" t="s">
        <v>20</v>
      </c>
      <c r="D331" s="399">
        <v>10677.4</v>
      </c>
      <c r="E331" s="399">
        <v>10677.4</v>
      </c>
      <c r="F331" s="202">
        <f>E331/D331</f>
        <v>1</v>
      </c>
      <c r="G331" s="182"/>
      <c r="H331" s="182"/>
      <c r="I331" s="182"/>
      <c r="J331" s="182"/>
      <c r="K331" s="182"/>
      <c r="L331" s="183"/>
    </row>
    <row r="332" spans="1:12" x14ac:dyDescent="0.3">
      <c r="A332" s="719"/>
      <c r="B332" s="84" t="s">
        <v>75</v>
      </c>
      <c r="C332" s="21"/>
      <c r="D332" s="242"/>
      <c r="E332" s="22"/>
      <c r="F332" s="250"/>
      <c r="G332" s="458">
        <v>3</v>
      </c>
      <c r="H332" s="458">
        <v>3</v>
      </c>
      <c r="I332" s="458">
        <v>0</v>
      </c>
      <c r="J332" s="458"/>
      <c r="K332" s="458">
        <f>SUM(K333:K335)</f>
        <v>2</v>
      </c>
      <c r="L332" s="459"/>
    </row>
    <row r="333" spans="1:12" ht="26.4" x14ac:dyDescent="0.3">
      <c r="A333" s="719"/>
      <c r="B333" s="14" t="s">
        <v>196</v>
      </c>
      <c r="C333" s="13" t="s">
        <v>154</v>
      </c>
      <c r="D333" s="344">
        <v>108.29</v>
      </c>
      <c r="E333" s="344">
        <v>108.29</v>
      </c>
      <c r="F333" s="220">
        <f>E333/D333</f>
        <v>1</v>
      </c>
      <c r="G333" s="182"/>
      <c r="H333" s="182"/>
      <c r="I333" s="182"/>
      <c r="J333" s="182"/>
      <c r="K333" s="487">
        <v>0.5</v>
      </c>
      <c r="L333" s="183"/>
    </row>
    <row r="334" spans="1:12" ht="39.6" x14ac:dyDescent="0.3">
      <c r="A334" s="719"/>
      <c r="B334" s="14" t="s">
        <v>197</v>
      </c>
      <c r="C334" s="13" t="s">
        <v>154</v>
      </c>
      <c r="D334" s="255">
        <v>3.4</v>
      </c>
      <c r="E334" s="225">
        <v>4.056</v>
      </c>
      <c r="F334" s="220">
        <f>E334/D334</f>
        <v>1.1929411764705882</v>
      </c>
      <c r="G334" s="182"/>
      <c r="H334" s="182"/>
      <c r="I334" s="182"/>
      <c r="J334" s="182"/>
      <c r="K334" s="487">
        <v>1</v>
      </c>
      <c r="L334" s="183"/>
    </row>
    <row r="335" spans="1:12" ht="66" x14ac:dyDescent="0.3">
      <c r="A335" s="719"/>
      <c r="B335" s="14" t="s">
        <v>198</v>
      </c>
      <c r="C335" s="13" t="s">
        <v>199</v>
      </c>
      <c r="D335" s="255">
        <v>36.9</v>
      </c>
      <c r="E335" s="225">
        <v>36.9</v>
      </c>
      <c r="F335" s="220">
        <f>E335/D335</f>
        <v>1</v>
      </c>
      <c r="G335" s="182"/>
      <c r="H335" s="182"/>
      <c r="I335" s="182"/>
      <c r="J335" s="182"/>
      <c r="K335" s="487">
        <v>0.5</v>
      </c>
      <c r="L335" s="183"/>
    </row>
    <row r="336" spans="1:12" ht="15" thickBot="1" x14ac:dyDescent="0.35">
      <c r="A336" s="720"/>
      <c r="B336" s="570" t="s">
        <v>300</v>
      </c>
      <c r="C336" s="571"/>
      <c r="D336" s="626"/>
      <c r="E336" s="653"/>
      <c r="F336" s="581"/>
      <c r="G336" s="574"/>
      <c r="H336" s="574"/>
      <c r="I336" s="574"/>
      <c r="J336" s="654">
        <f>1*1/(E334/D334)</f>
        <v>0.8382642998027614</v>
      </c>
      <c r="K336" s="600"/>
      <c r="L336" s="598"/>
    </row>
    <row r="337" spans="1:12" ht="57" x14ac:dyDescent="0.3">
      <c r="A337" s="767">
        <v>25</v>
      </c>
      <c r="B337" s="389" t="s">
        <v>200</v>
      </c>
      <c r="C337" s="186"/>
      <c r="D337" s="241"/>
      <c r="E337" s="167"/>
      <c r="F337" s="248"/>
      <c r="G337" s="178"/>
      <c r="H337" s="178"/>
      <c r="I337" s="178"/>
      <c r="J337" s="669" t="s">
        <v>312</v>
      </c>
      <c r="K337" s="669"/>
      <c r="L337" s="462" t="s">
        <v>304</v>
      </c>
    </row>
    <row r="338" spans="1:12" x14ac:dyDescent="0.3">
      <c r="A338" s="768"/>
      <c r="B338" s="191" t="s">
        <v>19</v>
      </c>
      <c r="C338" s="192" t="s">
        <v>20</v>
      </c>
      <c r="D338" s="390">
        <f>SUM(D339:D340)</f>
        <v>4242.1000000000004</v>
      </c>
      <c r="E338" s="390">
        <f>SUM(E339:E340)</f>
        <v>4242.1000000000004</v>
      </c>
      <c r="F338" s="201">
        <f>E338/D338</f>
        <v>1</v>
      </c>
      <c r="G338" s="195"/>
      <c r="H338" s="195"/>
      <c r="I338" s="195"/>
      <c r="J338" s="195"/>
      <c r="K338" s="195"/>
      <c r="L338" s="272"/>
    </row>
    <row r="339" spans="1:12" x14ac:dyDescent="0.3">
      <c r="A339" s="768"/>
      <c r="B339" s="11" t="s">
        <v>74</v>
      </c>
      <c r="C339" s="181" t="s">
        <v>20</v>
      </c>
      <c r="D339" s="391">
        <v>872.5</v>
      </c>
      <c r="E339" s="391">
        <v>872.5</v>
      </c>
      <c r="F339" s="202">
        <f>E339/D339</f>
        <v>1</v>
      </c>
      <c r="G339" s="182"/>
      <c r="H339" s="182"/>
      <c r="I339" s="182"/>
      <c r="J339" s="182"/>
      <c r="K339" s="182"/>
      <c r="L339" s="183"/>
    </row>
    <row r="340" spans="1:12" x14ac:dyDescent="0.3">
      <c r="A340" s="768"/>
      <c r="B340" s="11" t="s">
        <v>35</v>
      </c>
      <c r="C340" s="181" t="s">
        <v>20</v>
      </c>
      <c r="D340" s="391">
        <v>3369.6</v>
      </c>
      <c r="E340" s="391">
        <v>3369.6</v>
      </c>
      <c r="F340" s="202">
        <f>E340/D340</f>
        <v>1</v>
      </c>
      <c r="G340" s="182"/>
      <c r="H340" s="182"/>
      <c r="I340" s="182"/>
      <c r="J340" s="182"/>
      <c r="K340" s="182"/>
      <c r="L340" s="183"/>
    </row>
    <row r="341" spans="1:12" x14ac:dyDescent="0.3">
      <c r="A341" s="768"/>
      <c r="B341" s="233" t="s">
        <v>75</v>
      </c>
      <c r="C341" s="197"/>
      <c r="D341" s="247"/>
      <c r="E341" s="273"/>
      <c r="F341" s="251"/>
      <c r="G341" s="458">
        <v>2</v>
      </c>
      <c r="H341" s="458">
        <v>2</v>
      </c>
      <c r="I341" s="458">
        <v>0</v>
      </c>
      <c r="J341" s="458"/>
      <c r="K341" s="458">
        <f>SUM(K342:K343)</f>
        <v>-2</v>
      </c>
      <c r="L341" s="459"/>
    </row>
    <row r="342" spans="1:12" ht="52.8" x14ac:dyDescent="0.3">
      <c r="A342" s="768"/>
      <c r="B342" s="12" t="s">
        <v>201</v>
      </c>
      <c r="C342" s="13" t="s">
        <v>26</v>
      </c>
      <c r="D342" s="275">
        <v>50</v>
      </c>
      <c r="E342" s="341">
        <v>32.35</v>
      </c>
      <c r="F342" s="220">
        <f>E342/D342</f>
        <v>0.64700000000000002</v>
      </c>
      <c r="G342" s="182"/>
      <c r="H342" s="182"/>
      <c r="I342" s="182"/>
      <c r="J342" s="182"/>
      <c r="K342" s="487">
        <v>-1</v>
      </c>
      <c r="L342" s="183"/>
    </row>
    <row r="343" spans="1:12" ht="52.8" x14ac:dyDescent="0.3">
      <c r="A343" s="768"/>
      <c r="B343" s="12" t="s">
        <v>202</v>
      </c>
      <c r="C343" s="13" t="s">
        <v>26</v>
      </c>
      <c r="D343" s="275">
        <v>22</v>
      </c>
      <c r="E343" s="341">
        <v>20</v>
      </c>
      <c r="F343" s="220">
        <f>E343/D343</f>
        <v>0.90909090909090906</v>
      </c>
      <c r="G343" s="182"/>
      <c r="H343" s="182"/>
      <c r="I343" s="182"/>
      <c r="J343" s="182"/>
      <c r="K343" s="487">
        <v>-1</v>
      </c>
      <c r="L343" s="183"/>
    </row>
    <row r="344" spans="1:12" ht="15" thickBot="1" x14ac:dyDescent="0.35">
      <c r="A344" s="769"/>
      <c r="B344" s="651" t="s">
        <v>300</v>
      </c>
      <c r="C344" s="184"/>
      <c r="D344" s="342"/>
      <c r="E344" s="343"/>
      <c r="F344" s="347"/>
      <c r="G344" s="179"/>
      <c r="H344" s="179"/>
      <c r="I344" s="179"/>
      <c r="J344" s="575">
        <f>(0.4*F342+0.6*F343)/F338</f>
        <v>0.80425454545454544</v>
      </c>
      <c r="K344" s="568"/>
      <c r="L344" s="176"/>
    </row>
    <row r="345" spans="1:12" x14ac:dyDescent="0.3">
      <c r="A345" s="721" t="s">
        <v>203</v>
      </c>
      <c r="B345" s="160" t="s">
        <v>204</v>
      </c>
      <c r="C345" s="186"/>
      <c r="D345" s="241"/>
      <c r="E345" s="168"/>
      <c r="F345" s="248"/>
      <c r="G345" s="178"/>
      <c r="H345" s="178"/>
      <c r="I345" s="178"/>
      <c r="J345" s="514"/>
      <c r="K345" s="514"/>
      <c r="L345" s="188"/>
    </row>
    <row r="346" spans="1:12" x14ac:dyDescent="0.3">
      <c r="A346" s="722"/>
      <c r="B346" s="191" t="s">
        <v>19</v>
      </c>
      <c r="C346" s="192" t="s">
        <v>20</v>
      </c>
      <c r="D346" s="398">
        <f t="shared" ref="D346:E346" si="38">SUM(D347:D349)</f>
        <v>34963.399999999994</v>
      </c>
      <c r="E346" s="398">
        <f t="shared" si="38"/>
        <v>22070.9</v>
      </c>
      <c r="F346" s="201">
        <f>E346/D346</f>
        <v>0.63125725758936502</v>
      </c>
      <c r="G346" s="195"/>
      <c r="H346" s="195"/>
      <c r="I346" s="195"/>
      <c r="J346" s="515"/>
      <c r="K346" s="515"/>
      <c r="L346" s="272"/>
    </row>
    <row r="347" spans="1:12" x14ac:dyDescent="0.3">
      <c r="A347" s="722"/>
      <c r="B347" s="11" t="s">
        <v>21</v>
      </c>
      <c r="C347" s="181" t="s">
        <v>20</v>
      </c>
      <c r="D347" s="399">
        <f t="shared" ref="D347:E347" si="39">D378</f>
        <v>2830</v>
      </c>
      <c r="E347" s="399">
        <f t="shared" si="39"/>
        <v>2646.7</v>
      </c>
      <c r="F347" s="202">
        <f>E347/D347</f>
        <v>0.93522968197879852</v>
      </c>
      <c r="G347" s="182"/>
      <c r="H347" s="182"/>
      <c r="I347" s="182"/>
      <c r="J347" s="516"/>
      <c r="K347" s="516"/>
      <c r="L347" s="183"/>
    </row>
    <row r="348" spans="1:12" x14ac:dyDescent="0.3">
      <c r="A348" s="722"/>
      <c r="B348" s="11" t="s">
        <v>74</v>
      </c>
      <c r="C348" s="181" t="s">
        <v>20</v>
      </c>
      <c r="D348" s="399">
        <f>D358+D397+D406</f>
        <v>12358.8</v>
      </c>
      <c r="E348" s="399">
        <f>E358+E397+E406</f>
        <v>7611.1</v>
      </c>
      <c r="F348" s="202">
        <f>E348/D348</f>
        <v>0.61584458037997225</v>
      </c>
      <c r="G348" s="182"/>
      <c r="H348" s="182"/>
      <c r="I348" s="182"/>
      <c r="J348" s="516"/>
      <c r="K348" s="516"/>
      <c r="L348" s="183"/>
    </row>
    <row r="349" spans="1:12" ht="15" thickBot="1" x14ac:dyDescent="0.35">
      <c r="A349" s="723"/>
      <c r="B349" s="169" t="s">
        <v>35</v>
      </c>
      <c r="C349" s="161" t="s">
        <v>20</v>
      </c>
      <c r="D349" s="508">
        <f>D351+D359+D379+D398+D405</f>
        <v>19774.599999999999</v>
      </c>
      <c r="E349" s="508">
        <f>E351+E359+E379+E398+E405</f>
        <v>11813.1</v>
      </c>
      <c r="F349" s="249">
        <f>E349/D349</f>
        <v>0.59738755777613717</v>
      </c>
      <c r="G349" s="179"/>
      <c r="H349" s="179"/>
      <c r="I349" s="179"/>
      <c r="J349" s="517"/>
      <c r="K349" s="517"/>
      <c r="L349" s="176"/>
    </row>
    <row r="350" spans="1:12" ht="105.6" x14ac:dyDescent="0.3">
      <c r="A350" s="726">
        <v>26</v>
      </c>
      <c r="B350" s="25" t="s">
        <v>260</v>
      </c>
      <c r="C350" s="186"/>
      <c r="D350" s="241"/>
      <c r="E350" s="2"/>
      <c r="F350" s="248"/>
      <c r="G350" s="178"/>
      <c r="H350" s="178"/>
      <c r="I350" s="178"/>
      <c r="J350" s="669" t="s">
        <v>308</v>
      </c>
      <c r="K350" s="178"/>
      <c r="L350" s="462" t="s">
        <v>304</v>
      </c>
    </row>
    <row r="351" spans="1:12" ht="26.4" x14ac:dyDescent="0.3">
      <c r="A351" s="724"/>
      <c r="B351" s="11" t="s">
        <v>259</v>
      </c>
      <c r="C351" s="181" t="s">
        <v>20</v>
      </c>
      <c r="D351" s="159">
        <v>586</v>
      </c>
      <c r="E351" s="185">
        <v>547.70000000000005</v>
      </c>
      <c r="F351" s="202">
        <f>E351/D351</f>
        <v>0.93464163822525603</v>
      </c>
      <c r="G351" s="182"/>
      <c r="H351" s="182"/>
      <c r="I351" s="182"/>
      <c r="J351" s="182"/>
      <c r="K351" s="182"/>
      <c r="L351" s="187"/>
    </row>
    <row r="352" spans="1:12" x14ac:dyDescent="0.3">
      <c r="A352" s="724"/>
      <c r="B352" s="476" t="s">
        <v>75</v>
      </c>
      <c r="C352" s="26"/>
      <c r="D352" s="243"/>
      <c r="E352" s="48"/>
      <c r="F352" s="250"/>
      <c r="G352" s="530">
        <v>2</v>
      </c>
      <c r="H352" s="530">
        <v>2</v>
      </c>
      <c r="I352" s="530">
        <v>0</v>
      </c>
      <c r="J352" s="24"/>
      <c r="K352" s="655">
        <f>SUM(K353:K354)</f>
        <v>1</v>
      </c>
      <c r="L352" s="27"/>
    </row>
    <row r="353" spans="1:12" ht="26.4" x14ac:dyDescent="0.3">
      <c r="A353" s="724"/>
      <c r="B353" s="170" t="s">
        <v>206</v>
      </c>
      <c r="C353" s="181"/>
      <c r="D353" s="275">
        <v>1</v>
      </c>
      <c r="E353" s="275">
        <v>1</v>
      </c>
      <c r="F353" s="232">
        <f>E353/D353</f>
        <v>1</v>
      </c>
      <c r="G353" s="182"/>
      <c r="H353" s="182"/>
      <c r="I353" s="182"/>
      <c r="J353" s="182"/>
      <c r="K353" s="487">
        <v>0.5</v>
      </c>
      <c r="L353" s="187"/>
    </row>
    <row r="354" spans="1:12" ht="39.6" x14ac:dyDescent="0.3">
      <c r="A354" s="724"/>
      <c r="B354" s="656" t="s">
        <v>205</v>
      </c>
      <c r="C354" s="181"/>
      <c r="D354" s="275">
        <v>1</v>
      </c>
      <c r="E354" s="275">
        <v>1</v>
      </c>
      <c r="F354" s="232">
        <f>E354/D354</f>
        <v>1</v>
      </c>
      <c r="G354" s="182"/>
      <c r="H354" s="182"/>
      <c r="I354" s="182"/>
      <c r="J354" s="182"/>
      <c r="K354" s="487">
        <v>0.5</v>
      </c>
      <c r="L354" s="183"/>
    </row>
    <row r="355" spans="1:12" ht="15" thickBot="1" x14ac:dyDescent="0.35">
      <c r="A355" s="725"/>
      <c r="B355" s="574" t="s">
        <v>300</v>
      </c>
      <c r="C355" s="571"/>
      <c r="D355" s="597"/>
      <c r="E355" s="597"/>
      <c r="F355" s="581"/>
      <c r="G355" s="574"/>
      <c r="H355" s="574"/>
      <c r="I355" s="574"/>
      <c r="J355" s="657">
        <f>(0.5*F353+0.5*F354)/F351</f>
        <v>1.0699287931349277</v>
      </c>
      <c r="K355" s="600"/>
      <c r="L355" s="598"/>
    </row>
    <row r="356" spans="1:12" ht="83.25" customHeight="1" x14ac:dyDescent="0.3">
      <c r="A356" s="726">
        <v>27</v>
      </c>
      <c r="B356" s="160" t="s">
        <v>207</v>
      </c>
      <c r="C356" s="186"/>
      <c r="D356" s="241"/>
      <c r="E356" s="168"/>
      <c r="F356" s="248"/>
      <c r="G356" s="178"/>
      <c r="H356" s="178"/>
      <c r="I356" s="178"/>
      <c r="J356" s="669" t="s">
        <v>308</v>
      </c>
      <c r="K356" s="178"/>
      <c r="L356" s="462" t="s">
        <v>304</v>
      </c>
    </row>
    <row r="357" spans="1:12" x14ac:dyDescent="0.3">
      <c r="A357" s="724"/>
      <c r="B357" s="191" t="s">
        <v>19</v>
      </c>
      <c r="C357" s="192" t="s">
        <v>20</v>
      </c>
      <c r="D357" s="264">
        <f>SUM(D359)</f>
        <v>5.0999999999999996</v>
      </c>
      <c r="E357" s="264">
        <f>SUM(E359)</f>
        <v>5.0999999999999996</v>
      </c>
      <c r="F357" s="201">
        <f>E357/D357</f>
        <v>1</v>
      </c>
      <c r="G357" s="195"/>
      <c r="H357" s="195"/>
      <c r="I357" s="195"/>
      <c r="J357" s="195"/>
      <c r="K357" s="195"/>
      <c r="L357" s="272"/>
    </row>
    <row r="358" spans="1:12" x14ac:dyDescent="0.3">
      <c r="A358" s="724"/>
      <c r="B358" s="11" t="s">
        <v>74</v>
      </c>
      <c r="C358" s="181" t="s">
        <v>20</v>
      </c>
      <c r="D358" s="159">
        <v>0</v>
      </c>
      <c r="E358" s="159">
        <v>0</v>
      </c>
      <c r="F358" s="202">
        <f>0</f>
        <v>0</v>
      </c>
      <c r="G358" s="195"/>
      <c r="H358" s="195"/>
      <c r="I358" s="195"/>
      <c r="J358" s="195"/>
      <c r="K358" s="195"/>
      <c r="L358" s="272"/>
    </row>
    <row r="359" spans="1:12" x14ac:dyDescent="0.3">
      <c r="A359" s="724"/>
      <c r="B359" s="11" t="s">
        <v>35</v>
      </c>
      <c r="C359" s="181" t="s">
        <v>20</v>
      </c>
      <c r="D359" s="159">
        <v>5.0999999999999996</v>
      </c>
      <c r="E359" s="185">
        <v>5.0999999999999996</v>
      </c>
      <c r="F359" s="202">
        <f>E359/D359</f>
        <v>1</v>
      </c>
      <c r="G359" s="182"/>
      <c r="H359" s="182"/>
      <c r="I359" s="182"/>
      <c r="J359" s="182"/>
      <c r="K359" s="182"/>
      <c r="L359" s="183"/>
    </row>
    <row r="360" spans="1:12" x14ac:dyDescent="0.3">
      <c r="A360" s="724"/>
      <c r="B360" s="233" t="s">
        <v>75</v>
      </c>
      <c r="C360" s="197"/>
      <c r="D360" s="247"/>
      <c r="E360" s="297"/>
      <c r="F360" s="251"/>
      <c r="G360" s="200"/>
      <c r="H360" s="200"/>
      <c r="I360" s="200"/>
      <c r="J360" s="200"/>
      <c r="K360" s="530">
        <f>SUM(K361:K374)</f>
        <v>6</v>
      </c>
      <c r="L360" s="234"/>
    </row>
    <row r="361" spans="1:12" ht="79.2" x14ac:dyDescent="0.3">
      <c r="A361" s="724"/>
      <c r="B361" s="387" t="s">
        <v>232</v>
      </c>
      <c r="C361" s="349" t="s">
        <v>26</v>
      </c>
      <c r="D361" s="275">
        <v>15</v>
      </c>
      <c r="E361" s="275">
        <v>225.7</v>
      </c>
      <c r="F361" s="232">
        <v>6.6459902525476303E-2</v>
      </c>
      <c r="G361" s="182"/>
      <c r="H361" s="182"/>
      <c r="I361" s="182"/>
      <c r="J361" s="182"/>
      <c r="K361" s="487">
        <v>-1</v>
      </c>
      <c r="L361" s="183"/>
    </row>
    <row r="362" spans="1:12" ht="52.8" x14ac:dyDescent="0.3">
      <c r="A362" s="724"/>
      <c r="B362" s="387" t="s">
        <v>233</v>
      </c>
      <c r="C362" s="349" t="s">
        <v>26</v>
      </c>
      <c r="D362" s="275">
        <v>100</v>
      </c>
      <c r="E362" s="275">
        <v>100</v>
      </c>
      <c r="F362" s="232">
        <v>1</v>
      </c>
      <c r="G362" s="182"/>
      <c r="H362" s="182"/>
      <c r="I362" s="182"/>
      <c r="J362" s="182"/>
      <c r="K362" s="487">
        <v>0.5</v>
      </c>
      <c r="L362" s="183"/>
    </row>
    <row r="363" spans="1:12" ht="39.6" x14ac:dyDescent="0.3">
      <c r="A363" s="724"/>
      <c r="B363" s="387" t="s">
        <v>234</v>
      </c>
      <c r="C363" s="383" t="s">
        <v>26</v>
      </c>
      <c r="D363" s="275">
        <v>100</v>
      </c>
      <c r="E363" s="275">
        <v>100</v>
      </c>
      <c r="F363" s="232">
        <v>1</v>
      </c>
      <c r="G363" s="182"/>
      <c r="H363" s="182"/>
      <c r="I363" s="182"/>
      <c r="J363" s="182"/>
      <c r="K363" s="487">
        <v>0.5</v>
      </c>
      <c r="L363" s="183"/>
    </row>
    <row r="364" spans="1:12" ht="66" x14ac:dyDescent="0.3">
      <c r="A364" s="724"/>
      <c r="B364" s="387" t="s">
        <v>235</v>
      </c>
      <c r="C364" s="383" t="s">
        <v>26</v>
      </c>
      <c r="D364" s="275">
        <v>35</v>
      </c>
      <c r="E364" s="275">
        <v>13.3</v>
      </c>
      <c r="F364" s="232">
        <v>0.38</v>
      </c>
      <c r="G364" s="182"/>
      <c r="H364" s="182"/>
      <c r="I364" s="182"/>
      <c r="J364" s="182"/>
      <c r="K364" s="487">
        <v>-1</v>
      </c>
      <c r="L364" s="183"/>
    </row>
    <row r="365" spans="1:12" ht="52.8" x14ac:dyDescent="0.3">
      <c r="A365" s="724"/>
      <c r="B365" s="387" t="s">
        <v>236</v>
      </c>
      <c r="C365" s="383" t="s">
        <v>26</v>
      </c>
      <c r="D365" s="275">
        <v>80</v>
      </c>
      <c r="E365" s="275">
        <v>100</v>
      </c>
      <c r="F365" s="232">
        <v>1.25</v>
      </c>
      <c r="G365" s="182"/>
      <c r="H365" s="182"/>
      <c r="I365" s="182"/>
      <c r="J365" s="182"/>
      <c r="K365" s="487">
        <v>1</v>
      </c>
      <c r="L365" s="183"/>
    </row>
    <row r="366" spans="1:12" ht="66" x14ac:dyDescent="0.3">
      <c r="A366" s="724"/>
      <c r="B366" s="387" t="s">
        <v>237</v>
      </c>
      <c r="C366" s="383" t="s">
        <v>26</v>
      </c>
      <c r="D366" s="275">
        <v>30</v>
      </c>
      <c r="E366" s="275">
        <v>77.7</v>
      </c>
      <c r="F366" s="232">
        <v>2.5900000000000003</v>
      </c>
      <c r="G366" s="182"/>
      <c r="H366" s="182"/>
      <c r="I366" s="182"/>
      <c r="J366" s="182"/>
      <c r="K366" s="487">
        <v>1</v>
      </c>
      <c r="L366" s="183"/>
    </row>
    <row r="367" spans="1:12" ht="52.8" x14ac:dyDescent="0.3">
      <c r="A367" s="724"/>
      <c r="B367" s="387" t="s">
        <v>238</v>
      </c>
      <c r="C367" s="383" t="s">
        <v>26</v>
      </c>
      <c r="D367" s="275">
        <v>90</v>
      </c>
      <c r="E367" s="275">
        <v>100</v>
      </c>
      <c r="F367" s="232">
        <v>1.1111111111111112</v>
      </c>
      <c r="G367" s="182"/>
      <c r="H367" s="182"/>
      <c r="I367" s="182"/>
      <c r="J367" s="182"/>
      <c r="K367" s="487">
        <v>1</v>
      </c>
      <c r="L367" s="183"/>
    </row>
    <row r="368" spans="1:12" ht="39.6" x14ac:dyDescent="0.3">
      <c r="A368" s="724"/>
      <c r="B368" s="387" t="s">
        <v>239</v>
      </c>
      <c r="C368" s="383" t="s">
        <v>26</v>
      </c>
      <c r="D368" s="275">
        <v>50</v>
      </c>
      <c r="E368" s="275">
        <v>100</v>
      </c>
      <c r="F368" s="232">
        <v>2</v>
      </c>
      <c r="G368" s="182"/>
      <c r="H368" s="182"/>
      <c r="I368" s="182"/>
      <c r="J368" s="182"/>
      <c r="K368" s="487">
        <v>1</v>
      </c>
      <c r="L368" s="183"/>
    </row>
    <row r="369" spans="1:12" ht="52.8" x14ac:dyDescent="0.3">
      <c r="A369" s="724"/>
      <c r="B369" s="387" t="s">
        <v>240</v>
      </c>
      <c r="C369" s="383"/>
      <c r="D369" s="275">
        <v>12.7</v>
      </c>
      <c r="E369" s="275">
        <v>8</v>
      </c>
      <c r="F369" s="232">
        <v>0.62992125984251968</v>
      </c>
      <c r="G369" s="182"/>
      <c r="H369" s="182"/>
      <c r="I369" s="182"/>
      <c r="J369" s="182"/>
      <c r="K369" s="487">
        <v>-1</v>
      </c>
      <c r="L369" s="183"/>
    </row>
    <row r="370" spans="1:12" ht="52.8" x14ac:dyDescent="0.3">
      <c r="A370" s="724"/>
      <c r="B370" s="387" t="s">
        <v>241</v>
      </c>
      <c r="C370" s="383"/>
      <c r="D370" s="275">
        <v>0</v>
      </c>
      <c r="E370" s="275">
        <v>0</v>
      </c>
      <c r="F370" s="232">
        <v>1</v>
      </c>
      <c r="G370" s="182"/>
      <c r="H370" s="182"/>
      <c r="I370" s="182"/>
      <c r="J370" s="182"/>
      <c r="K370" s="487">
        <v>0.5</v>
      </c>
      <c r="L370" s="183"/>
    </row>
    <row r="371" spans="1:12" ht="52.8" x14ac:dyDescent="0.3">
      <c r="A371" s="724"/>
      <c r="B371" s="387" t="s">
        <v>242</v>
      </c>
      <c r="C371" s="383"/>
      <c r="D371" s="275">
        <v>0</v>
      </c>
      <c r="E371" s="275">
        <v>0</v>
      </c>
      <c r="F371" s="232">
        <v>1</v>
      </c>
      <c r="G371" s="182"/>
      <c r="H371" s="182"/>
      <c r="I371" s="182"/>
      <c r="J371" s="182"/>
      <c r="K371" s="487">
        <v>0.5</v>
      </c>
      <c r="L371" s="183"/>
    </row>
    <row r="372" spans="1:12" ht="84.75" customHeight="1" x14ac:dyDescent="0.3">
      <c r="A372" s="724"/>
      <c r="B372" s="387" t="s">
        <v>243</v>
      </c>
      <c r="C372" s="383" t="s">
        <v>20</v>
      </c>
      <c r="D372" s="528">
        <v>91836.3</v>
      </c>
      <c r="E372" s="275">
        <v>4493.6000000000004</v>
      </c>
      <c r="F372" s="232" t="s">
        <v>268</v>
      </c>
      <c r="G372" s="182"/>
      <c r="H372" s="182"/>
      <c r="I372" s="182"/>
      <c r="J372" s="182"/>
      <c r="K372" s="487">
        <v>1</v>
      </c>
      <c r="L372" s="183"/>
    </row>
    <row r="373" spans="1:12" ht="26.4" x14ac:dyDescent="0.3">
      <c r="A373" s="724"/>
      <c r="B373" s="387" t="s">
        <v>244</v>
      </c>
      <c r="C373" s="383" t="s">
        <v>26</v>
      </c>
      <c r="D373" s="275">
        <v>2</v>
      </c>
      <c r="E373" s="275">
        <v>2</v>
      </c>
      <c r="F373" s="232" t="s">
        <v>268</v>
      </c>
      <c r="G373" s="182"/>
      <c r="H373" s="182"/>
      <c r="I373" s="182"/>
      <c r="J373" s="182"/>
      <c r="K373" s="487">
        <v>1</v>
      </c>
      <c r="L373" s="183"/>
    </row>
    <row r="374" spans="1:12" ht="66" x14ac:dyDescent="0.3">
      <c r="A374" s="724"/>
      <c r="B374" s="387" t="s">
        <v>245</v>
      </c>
      <c r="C374" s="383" t="s">
        <v>26</v>
      </c>
      <c r="D374" s="275">
        <v>90</v>
      </c>
      <c r="E374" s="275">
        <v>100</v>
      </c>
      <c r="F374" s="232">
        <v>1.1111111111111112</v>
      </c>
      <c r="G374" s="182"/>
      <c r="H374" s="182"/>
      <c r="I374" s="182"/>
      <c r="J374" s="182"/>
      <c r="K374" s="487">
        <v>1</v>
      </c>
      <c r="L374" s="183"/>
    </row>
    <row r="375" spans="1:12" ht="15" thickBot="1" x14ac:dyDescent="0.35">
      <c r="A375" s="725"/>
      <c r="B375" s="658" t="s">
        <v>300</v>
      </c>
      <c r="C375" s="659"/>
      <c r="D375" s="597"/>
      <c r="E375" s="597"/>
      <c r="F375" s="581"/>
      <c r="G375" s="574"/>
      <c r="H375" s="574"/>
      <c r="I375" s="574"/>
      <c r="J375" s="689">
        <v>1.08</v>
      </c>
      <c r="K375" s="600"/>
      <c r="L375" s="598"/>
    </row>
    <row r="376" spans="1:12" ht="60" x14ac:dyDescent="0.3">
      <c r="A376" s="761">
        <v>28</v>
      </c>
      <c r="B376" s="338" t="s">
        <v>219</v>
      </c>
      <c r="C376" s="287"/>
      <c r="D376" s="287"/>
      <c r="E376" s="287"/>
      <c r="F376" s="287"/>
      <c r="G376" s="288"/>
      <c r="H376" s="288"/>
      <c r="I376" s="288"/>
      <c r="J376" s="716" t="s">
        <v>309</v>
      </c>
      <c r="K376" s="288"/>
      <c r="L376" s="717" t="s">
        <v>304</v>
      </c>
    </row>
    <row r="377" spans="1:12" x14ac:dyDescent="0.3">
      <c r="A377" s="762"/>
      <c r="B377" s="301" t="s">
        <v>220</v>
      </c>
      <c r="C377" s="302"/>
      <c r="D377" s="504">
        <f>SUM(D378:D379)</f>
        <v>6013</v>
      </c>
      <c r="E377" s="504">
        <f>SUM(E378:E379)</f>
        <v>5715.7</v>
      </c>
      <c r="F377" s="396">
        <f>E377/D377</f>
        <v>0.95055712622650923</v>
      </c>
      <c r="G377" s="303"/>
      <c r="H377" s="303"/>
      <c r="I377" s="303"/>
      <c r="J377" s="303"/>
      <c r="K377" s="303"/>
      <c r="L377" s="304"/>
    </row>
    <row r="378" spans="1:12" x14ac:dyDescent="0.3">
      <c r="A378" s="762"/>
      <c r="B378" s="295" t="s">
        <v>221</v>
      </c>
      <c r="C378" s="292"/>
      <c r="D378" s="505">
        <v>2830</v>
      </c>
      <c r="E378" s="505">
        <v>2646.7</v>
      </c>
      <c r="F378" s="397">
        <f>E378/D378</f>
        <v>0.93522968197879852</v>
      </c>
      <c r="G378" s="293"/>
      <c r="H378" s="293"/>
      <c r="I378" s="293"/>
      <c r="J378" s="293"/>
      <c r="K378" s="293"/>
      <c r="L378" s="294"/>
    </row>
    <row r="379" spans="1:12" x14ac:dyDescent="0.3">
      <c r="A379" s="762"/>
      <c r="B379" s="211" t="s">
        <v>60</v>
      </c>
      <c r="C379" s="292"/>
      <c r="D379" s="505">
        <v>3183</v>
      </c>
      <c r="E379" s="505">
        <v>3069</v>
      </c>
      <c r="F379" s="397">
        <f>E379/D379</f>
        <v>0.96418473138548544</v>
      </c>
      <c r="G379" s="293"/>
      <c r="H379" s="293"/>
      <c r="I379" s="293"/>
      <c r="J379" s="293"/>
      <c r="K379" s="293"/>
      <c r="L379" s="294"/>
    </row>
    <row r="380" spans="1:12" ht="12.75" customHeight="1" x14ac:dyDescent="0.3">
      <c r="A380" s="762"/>
      <c r="B380" s="298" t="s">
        <v>24</v>
      </c>
      <c r="C380" s="299"/>
      <c r="D380" s="299"/>
      <c r="E380" s="299"/>
      <c r="F380" s="299"/>
      <c r="G380" s="299">
        <v>2</v>
      </c>
      <c r="H380" s="299">
        <v>2</v>
      </c>
      <c r="I380" s="299">
        <v>0</v>
      </c>
      <c r="J380" s="299"/>
      <c r="K380" s="299">
        <f>SUM(K381:K393)</f>
        <v>4</v>
      </c>
      <c r="L380" s="479"/>
    </row>
    <row r="381" spans="1:12" ht="52.2" customHeight="1" x14ac:dyDescent="0.3">
      <c r="A381" s="762"/>
      <c r="B381" s="713" t="s">
        <v>320</v>
      </c>
      <c r="C381" s="704"/>
      <c r="D381" s="710" t="s">
        <v>332</v>
      </c>
      <c r="E381" s="710" t="s">
        <v>332</v>
      </c>
      <c r="F381" s="711">
        <v>1</v>
      </c>
      <c r="G381" s="704"/>
      <c r="H381" s="704"/>
      <c r="I381" s="704"/>
      <c r="J381" s="704"/>
      <c r="K381" s="710">
        <v>0.5</v>
      </c>
      <c r="L381" s="706"/>
    </row>
    <row r="382" spans="1:12" ht="80.400000000000006" customHeight="1" x14ac:dyDescent="0.3">
      <c r="A382" s="762"/>
      <c r="B382" s="714" t="s">
        <v>330</v>
      </c>
      <c r="C382" s="704"/>
      <c r="D382" s="710">
        <v>52.5</v>
      </c>
      <c r="E382" s="710">
        <v>77.2</v>
      </c>
      <c r="F382" s="712">
        <f>E382/D382</f>
        <v>1.4704761904761905</v>
      </c>
      <c r="G382" s="704"/>
      <c r="H382" s="704"/>
      <c r="I382" s="704"/>
      <c r="J382" s="704"/>
      <c r="K382" s="710">
        <v>1</v>
      </c>
      <c r="L382" s="706"/>
    </row>
    <row r="383" spans="1:12" ht="54" customHeight="1" x14ac:dyDescent="0.3">
      <c r="A383" s="762"/>
      <c r="B383" s="713" t="s">
        <v>321</v>
      </c>
      <c r="C383" s="704"/>
      <c r="D383" s="710" t="s">
        <v>332</v>
      </c>
      <c r="E383" s="710" t="s">
        <v>332</v>
      </c>
      <c r="F383" s="711">
        <v>1</v>
      </c>
      <c r="G383" s="704"/>
      <c r="H383" s="704"/>
      <c r="I383" s="704"/>
      <c r="J383" s="704"/>
      <c r="K383" s="710">
        <v>0.5</v>
      </c>
      <c r="L383" s="706"/>
    </row>
    <row r="384" spans="1:12" ht="42" customHeight="1" x14ac:dyDescent="0.3">
      <c r="A384" s="762"/>
      <c r="B384" s="713" t="s">
        <v>322</v>
      </c>
      <c r="C384" s="704"/>
      <c r="D384" s="710" t="s">
        <v>332</v>
      </c>
      <c r="E384" s="710" t="s">
        <v>332</v>
      </c>
      <c r="F384" s="711">
        <v>1</v>
      </c>
      <c r="G384" s="704"/>
      <c r="H384" s="704"/>
      <c r="I384" s="704"/>
      <c r="J384" s="704"/>
      <c r="K384" s="710">
        <v>0.5</v>
      </c>
      <c r="L384" s="706"/>
    </row>
    <row r="385" spans="1:12" ht="24.6" customHeight="1" x14ac:dyDescent="0.3">
      <c r="A385" s="762"/>
      <c r="B385" s="713" t="s">
        <v>323</v>
      </c>
      <c r="C385" s="704"/>
      <c r="D385" s="710">
        <v>0.85</v>
      </c>
      <c r="E385" s="710">
        <v>1.05</v>
      </c>
      <c r="F385" s="711">
        <v>1</v>
      </c>
      <c r="G385" s="704"/>
      <c r="H385" s="704"/>
      <c r="I385" s="704"/>
      <c r="J385" s="704"/>
      <c r="K385" s="710">
        <v>0.5</v>
      </c>
      <c r="L385" s="706"/>
    </row>
    <row r="386" spans="1:12" ht="28.8" customHeight="1" x14ac:dyDescent="0.3">
      <c r="A386" s="762"/>
      <c r="B386" s="713" t="s">
        <v>324</v>
      </c>
      <c r="C386" s="704"/>
      <c r="D386" s="710" t="s">
        <v>332</v>
      </c>
      <c r="E386" s="710" t="s">
        <v>332</v>
      </c>
      <c r="F386" s="711">
        <v>1</v>
      </c>
      <c r="G386" s="704"/>
      <c r="H386" s="704"/>
      <c r="I386" s="704"/>
      <c r="J386" s="704"/>
      <c r="K386" s="710">
        <v>0.5</v>
      </c>
      <c r="L386" s="706"/>
    </row>
    <row r="387" spans="1:12" ht="38.4" customHeight="1" x14ac:dyDescent="0.3">
      <c r="A387" s="762"/>
      <c r="B387" s="713" t="s">
        <v>325</v>
      </c>
      <c r="C387" s="704"/>
      <c r="D387" s="710" t="s">
        <v>332</v>
      </c>
      <c r="E387" s="710" t="s">
        <v>332</v>
      </c>
      <c r="F387" s="711">
        <v>1</v>
      </c>
      <c r="G387" s="704"/>
      <c r="H387" s="704"/>
      <c r="I387" s="704"/>
      <c r="J387" s="704"/>
      <c r="K387" s="710">
        <v>0.5</v>
      </c>
      <c r="L387" s="706"/>
    </row>
    <row r="388" spans="1:12" ht="25.8" customHeight="1" x14ac:dyDescent="0.3">
      <c r="A388" s="762"/>
      <c r="B388" s="715" t="s">
        <v>331</v>
      </c>
      <c r="C388" s="704"/>
      <c r="D388" s="710" t="s">
        <v>332</v>
      </c>
      <c r="E388" s="710" t="s">
        <v>332</v>
      </c>
      <c r="F388" s="711">
        <v>1</v>
      </c>
      <c r="G388" s="704"/>
      <c r="H388" s="704"/>
      <c r="I388" s="704"/>
      <c r="J388" s="704"/>
      <c r="K388" s="710">
        <v>0.5</v>
      </c>
      <c r="L388" s="706"/>
    </row>
    <row r="389" spans="1:12" ht="39" customHeight="1" x14ac:dyDescent="0.3">
      <c r="A389" s="762"/>
      <c r="B389" s="714" t="s">
        <v>326</v>
      </c>
      <c r="C389" s="704"/>
      <c r="D389" s="710">
        <v>27</v>
      </c>
      <c r="E389" s="710">
        <v>20</v>
      </c>
      <c r="F389" s="712">
        <f>E389/D389</f>
        <v>0.7407407407407407</v>
      </c>
      <c r="G389" s="704"/>
      <c r="H389" s="704"/>
      <c r="I389" s="704"/>
      <c r="J389" s="704"/>
      <c r="K389" s="710">
        <v>-1</v>
      </c>
      <c r="L389" s="706"/>
    </row>
    <row r="390" spans="1:12" ht="54" customHeight="1" x14ac:dyDescent="0.3">
      <c r="A390" s="762"/>
      <c r="B390" s="715" t="s">
        <v>327</v>
      </c>
      <c r="C390" s="704"/>
      <c r="D390" s="710">
        <v>36</v>
      </c>
      <c r="E390" s="710">
        <v>37</v>
      </c>
      <c r="F390" s="712">
        <f t="shared" ref="F390:F392" si="40">E390/D390</f>
        <v>1.0277777777777777</v>
      </c>
      <c r="G390" s="704"/>
      <c r="H390" s="704"/>
      <c r="I390" s="704"/>
      <c r="J390" s="704"/>
      <c r="K390" s="710">
        <v>1</v>
      </c>
      <c r="L390" s="706"/>
    </row>
    <row r="391" spans="1:12" ht="26.4" customHeight="1" x14ac:dyDescent="0.3">
      <c r="A391" s="762"/>
      <c r="B391" s="715" t="s">
        <v>328</v>
      </c>
      <c r="C391" s="704"/>
      <c r="D391" s="710">
        <v>33</v>
      </c>
      <c r="E391" s="710">
        <v>31</v>
      </c>
      <c r="F391" s="712">
        <f t="shared" si="40"/>
        <v>0.93939393939393945</v>
      </c>
      <c r="G391" s="704"/>
      <c r="H391" s="704"/>
      <c r="I391" s="704"/>
      <c r="J391" s="704"/>
      <c r="K391" s="710">
        <v>-1</v>
      </c>
      <c r="L391" s="706"/>
    </row>
    <row r="392" spans="1:12" ht="41.4" customHeight="1" x14ac:dyDescent="0.3">
      <c r="A392" s="762"/>
      <c r="B392" s="715" t="s">
        <v>329</v>
      </c>
      <c r="C392" s="704"/>
      <c r="D392" s="710">
        <v>23</v>
      </c>
      <c r="E392" s="710">
        <v>24</v>
      </c>
      <c r="F392" s="712">
        <f t="shared" si="40"/>
        <v>1.0434782608695652</v>
      </c>
      <c r="G392" s="704"/>
      <c r="H392" s="704"/>
      <c r="I392" s="704"/>
      <c r="J392" s="704"/>
      <c r="K392" s="710">
        <v>1</v>
      </c>
      <c r="L392" s="706"/>
    </row>
    <row r="393" spans="1:12" ht="24" customHeight="1" x14ac:dyDescent="0.3">
      <c r="A393" s="762"/>
      <c r="B393" s="300" t="s">
        <v>333</v>
      </c>
      <c r="C393" s="237" t="s">
        <v>26</v>
      </c>
      <c r="D393" s="237">
        <v>95</v>
      </c>
      <c r="E393" s="237">
        <v>93.5</v>
      </c>
      <c r="F393" s="477">
        <f>E393/D393</f>
        <v>0.98421052631578942</v>
      </c>
      <c r="G393" s="238"/>
      <c r="H393" s="238"/>
      <c r="I393" s="238"/>
      <c r="J393" s="238"/>
      <c r="K393" s="237">
        <v>-0.5</v>
      </c>
      <c r="L393" s="291"/>
    </row>
    <row r="394" spans="1:12" ht="15" thickBot="1" x14ac:dyDescent="0.35">
      <c r="A394" s="763"/>
      <c r="B394" s="660" t="s">
        <v>300</v>
      </c>
      <c r="C394" s="622"/>
      <c r="D394" s="622"/>
      <c r="E394" s="622"/>
      <c r="F394" s="661"/>
      <c r="G394" s="624"/>
      <c r="H394" s="624"/>
      <c r="I394" s="624"/>
      <c r="J394" s="695"/>
      <c r="K394" s="622"/>
      <c r="L394" s="662"/>
    </row>
    <row r="395" spans="1:12" ht="79.2" x14ac:dyDescent="0.3">
      <c r="A395" s="764">
        <v>29</v>
      </c>
      <c r="B395" s="338" t="s">
        <v>225</v>
      </c>
      <c r="C395" s="330"/>
      <c r="D395" s="287"/>
      <c r="E395" s="287"/>
      <c r="F395" s="287"/>
      <c r="G395" s="288"/>
      <c r="H395" s="288"/>
      <c r="I395" s="288"/>
      <c r="J395" s="669" t="s">
        <v>308</v>
      </c>
      <c r="K395" s="178"/>
      <c r="L395" s="462" t="s">
        <v>304</v>
      </c>
    </row>
    <row r="396" spans="1:12" x14ac:dyDescent="0.3">
      <c r="A396" s="765"/>
      <c r="B396" s="301" t="s">
        <v>220</v>
      </c>
      <c r="C396" s="290"/>
      <c r="D396" s="504">
        <f>SUM(D397:D398)</f>
        <v>3213.8</v>
      </c>
      <c r="E396" s="504">
        <f>SUM(E397:E398)</f>
        <v>2639</v>
      </c>
      <c r="F396" s="396">
        <f>E396/D396</f>
        <v>0.82114630655299015</v>
      </c>
      <c r="G396" s="238"/>
      <c r="H396" s="238"/>
      <c r="I396" s="238"/>
      <c r="J396" s="238"/>
      <c r="K396" s="238"/>
      <c r="L396" s="291"/>
    </row>
    <row r="397" spans="1:12" x14ac:dyDescent="0.3">
      <c r="A397" s="765"/>
      <c r="B397" s="211" t="s">
        <v>246</v>
      </c>
      <c r="C397" s="290"/>
      <c r="D397" s="505">
        <v>1358.8</v>
      </c>
      <c r="E397" s="505">
        <v>1319.5</v>
      </c>
      <c r="F397" s="397">
        <f>E397/D397</f>
        <v>0.97107742125404772</v>
      </c>
      <c r="G397" s="238"/>
      <c r="H397" s="238"/>
      <c r="I397" s="238"/>
      <c r="J397" s="238"/>
      <c r="K397" s="238"/>
      <c r="L397" s="291"/>
    </row>
    <row r="398" spans="1:12" x14ac:dyDescent="0.3">
      <c r="A398" s="765"/>
      <c r="B398" s="211" t="s">
        <v>254</v>
      </c>
      <c r="C398" s="290"/>
      <c r="D398" s="505">
        <v>1855</v>
      </c>
      <c r="E398" s="505">
        <v>1319.5</v>
      </c>
      <c r="F398" s="397">
        <f>E398/D398</f>
        <v>0.71132075471698109</v>
      </c>
      <c r="G398" s="238"/>
      <c r="H398" s="238"/>
      <c r="I398" s="238"/>
      <c r="J398" s="238"/>
      <c r="K398" s="238"/>
      <c r="L398" s="291"/>
    </row>
    <row r="399" spans="1:12" x14ac:dyDescent="0.3">
      <c r="A399" s="765"/>
      <c r="B399" s="298" t="s">
        <v>75</v>
      </c>
      <c r="C399" s="332"/>
      <c r="D399" s="333"/>
      <c r="E399" s="333"/>
      <c r="F399" s="333"/>
      <c r="G399" s="334"/>
      <c r="H399" s="334"/>
      <c r="I399" s="334"/>
      <c r="J399" s="334"/>
      <c r="K399" s="663">
        <f>SUM(K400:K401)</f>
        <v>2</v>
      </c>
      <c r="L399" s="335"/>
    </row>
    <row r="400" spans="1:12" ht="39.6" x14ac:dyDescent="0.3">
      <c r="A400" s="765"/>
      <c r="B400" s="524" t="s">
        <v>266</v>
      </c>
      <c r="C400" s="237" t="s">
        <v>32</v>
      </c>
      <c r="D400" s="470">
        <v>2</v>
      </c>
      <c r="E400" s="470">
        <v>3</v>
      </c>
      <c r="F400" s="477">
        <v>1.5</v>
      </c>
      <c r="G400" s="238"/>
      <c r="H400" s="238"/>
      <c r="I400" s="238"/>
      <c r="J400" s="238"/>
      <c r="K400" s="664">
        <v>1</v>
      </c>
      <c r="L400" s="291"/>
    </row>
    <row r="401" spans="1:12" ht="52.8" x14ac:dyDescent="0.3">
      <c r="A401" s="765"/>
      <c r="B401" s="524" t="s">
        <v>267</v>
      </c>
      <c r="C401" s="237" t="s">
        <v>262</v>
      </c>
      <c r="D401" s="470">
        <v>115.9</v>
      </c>
      <c r="E401" s="470">
        <v>162.6</v>
      </c>
      <c r="F401" s="477">
        <v>1.4029335634167399</v>
      </c>
      <c r="G401" s="238"/>
      <c r="H401" s="238"/>
      <c r="I401" s="238"/>
      <c r="J401" s="238"/>
      <c r="K401" s="664">
        <v>1</v>
      </c>
      <c r="L401" s="291"/>
    </row>
    <row r="402" spans="1:12" ht="15" thickBot="1" x14ac:dyDescent="0.35">
      <c r="A402" s="766"/>
      <c r="B402" s="607" t="s">
        <v>300</v>
      </c>
      <c r="C402" s="665"/>
      <c r="D402" s="608"/>
      <c r="E402" s="608"/>
      <c r="F402" s="661"/>
      <c r="G402" s="624"/>
      <c r="H402" s="624"/>
      <c r="I402" s="624"/>
      <c r="J402" s="691">
        <f>(0.5*F400+0.5*F401)/F396</f>
        <v>1.7676104369285184</v>
      </c>
      <c r="K402" s="666"/>
      <c r="L402" s="662"/>
    </row>
    <row r="403" spans="1:12" ht="90.75" customHeight="1" x14ac:dyDescent="0.3">
      <c r="A403" s="764">
        <v>30</v>
      </c>
      <c r="B403" s="338" t="s">
        <v>226</v>
      </c>
      <c r="C403" s="330"/>
      <c r="D403" s="330"/>
      <c r="E403" s="330"/>
      <c r="F403" s="330"/>
      <c r="G403" s="288"/>
      <c r="H403" s="288"/>
      <c r="I403" s="288"/>
      <c r="J403" s="669" t="s">
        <v>308</v>
      </c>
      <c r="K403" s="178"/>
      <c r="L403" s="462" t="s">
        <v>304</v>
      </c>
    </row>
    <row r="404" spans="1:12" x14ac:dyDescent="0.3">
      <c r="A404" s="765"/>
      <c r="B404" s="301" t="s">
        <v>220</v>
      </c>
      <c r="C404" s="290"/>
      <c r="D404" s="506">
        <f>SUM(D405:D406)</f>
        <v>25145.5</v>
      </c>
      <c r="E404" s="504">
        <f>SUM(E405:E406)</f>
        <v>13163.400000000001</v>
      </c>
      <c r="F404" s="396">
        <f>E404/D404</f>
        <v>0.52348929231870522</v>
      </c>
      <c r="G404" s="425"/>
      <c r="H404" s="426"/>
      <c r="I404" s="426"/>
      <c r="J404" s="426"/>
      <c r="K404" s="426"/>
      <c r="L404" s="427"/>
    </row>
    <row r="405" spans="1:12" x14ac:dyDescent="0.3">
      <c r="A405" s="765"/>
      <c r="B405" s="211" t="s">
        <v>35</v>
      </c>
      <c r="C405" s="238"/>
      <c r="D405" s="507">
        <v>14145.5</v>
      </c>
      <c r="E405" s="505">
        <v>6871.8</v>
      </c>
      <c r="F405" s="397">
        <f>E405/D405</f>
        <v>0.48579406878512604</v>
      </c>
      <c r="G405" s="424"/>
      <c r="H405" s="238"/>
      <c r="I405" s="238"/>
      <c r="J405" s="238"/>
      <c r="K405" s="238"/>
      <c r="L405" s="291"/>
    </row>
    <row r="406" spans="1:12" x14ac:dyDescent="0.3">
      <c r="A406" s="765"/>
      <c r="B406" s="211" t="s">
        <v>22</v>
      </c>
      <c r="C406" s="238"/>
      <c r="D406" s="507">
        <v>11000</v>
      </c>
      <c r="E406" s="505">
        <v>6291.6</v>
      </c>
      <c r="F406" s="397">
        <f>E406/D406</f>
        <v>0.57196363636363645</v>
      </c>
      <c r="G406" s="424"/>
      <c r="H406" s="238"/>
      <c r="I406" s="238"/>
      <c r="J406" s="238"/>
      <c r="K406" s="238"/>
      <c r="L406" s="291"/>
    </row>
    <row r="407" spans="1:12" x14ac:dyDescent="0.3">
      <c r="A407" s="765"/>
      <c r="B407" s="331" t="s">
        <v>223</v>
      </c>
      <c r="C407" s="334"/>
      <c r="D407" s="334"/>
      <c r="E407" s="334"/>
      <c r="F407" s="334"/>
      <c r="G407" s="299">
        <v>3</v>
      </c>
      <c r="H407" s="299">
        <v>3</v>
      </c>
      <c r="I407" s="299">
        <v>0</v>
      </c>
      <c r="J407" s="299"/>
      <c r="K407" s="299">
        <f>SUM(K408:K410)</f>
        <v>-3</v>
      </c>
      <c r="L407" s="479"/>
    </row>
    <row r="408" spans="1:12" ht="66" customHeight="1" x14ac:dyDescent="0.3">
      <c r="A408" s="765"/>
      <c r="B408" s="552" t="s">
        <v>261</v>
      </c>
      <c r="C408" s="237" t="s">
        <v>262</v>
      </c>
      <c r="D408" s="237">
        <v>737.9</v>
      </c>
      <c r="E408" s="237">
        <v>360.2</v>
      </c>
      <c r="F408" s="477">
        <f>E408/D408</f>
        <v>0.48814202466458867</v>
      </c>
      <c r="G408" s="238"/>
      <c r="H408" s="238"/>
      <c r="I408" s="238"/>
      <c r="J408" s="238"/>
      <c r="K408" s="237">
        <v>-1</v>
      </c>
      <c r="L408" s="291"/>
    </row>
    <row r="409" spans="1:12" ht="125.4" customHeight="1" x14ac:dyDescent="0.3">
      <c r="A409" s="765"/>
      <c r="B409" s="552" t="s">
        <v>175</v>
      </c>
      <c r="C409" s="237" t="s">
        <v>262</v>
      </c>
      <c r="D409" s="237">
        <v>737.9</v>
      </c>
      <c r="E409" s="237">
        <v>440.5</v>
      </c>
      <c r="F409" s="477">
        <f>E409/D409</f>
        <v>0.59696435831413475</v>
      </c>
      <c r="G409" s="238"/>
      <c r="H409" s="238"/>
      <c r="I409" s="238"/>
      <c r="J409" s="238"/>
      <c r="K409" s="237">
        <v>-1</v>
      </c>
      <c r="L409" s="291"/>
    </row>
    <row r="410" spans="1:12" ht="26.4" x14ac:dyDescent="0.3">
      <c r="A410" s="765"/>
      <c r="B410" s="300" t="s">
        <v>176</v>
      </c>
      <c r="C410" s="237" t="s">
        <v>262</v>
      </c>
      <c r="D410" s="237">
        <v>53</v>
      </c>
      <c r="E410" s="237">
        <v>37</v>
      </c>
      <c r="F410" s="477">
        <f>E410/D410</f>
        <v>0.69811320754716977</v>
      </c>
      <c r="G410" s="238"/>
      <c r="H410" s="238"/>
      <c r="I410" s="238"/>
      <c r="J410" s="238"/>
      <c r="K410" s="237">
        <v>-1</v>
      </c>
      <c r="L410" s="291"/>
    </row>
    <row r="411" spans="1:12" ht="15" thickBot="1" x14ac:dyDescent="0.35">
      <c r="A411" s="766"/>
      <c r="B411" s="660" t="s">
        <v>300</v>
      </c>
      <c r="C411" s="622"/>
      <c r="D411" s="622"/>
      <c r="E411" s="622"/>
      <c r="F411" s="661"/>
      <c r="G411" s="624"/>
      <c r="H411" s="624"/>
      <c r="I411" s="624"/>
      <c r="J411" s="691">
        <f>(0.5*F408+0.25*F409+0.25*F410)/F404</f>
        <v>1.0847220986745874</v>
      </c>
      <c r="K411" s="622"/>
      <c r="L411" s="662"/>
    </row>
    <row r="412" spans="1:12" x14ac:dyDescent="0.3">
      <c r="A412" s="727"/>
      <c r="B412" s="351" t="s">
        <v>231</v>
      </c>
      <c r="C412" s="352"/>
      <c r="D412" s="353"/>
      <c r="E412" s="353"/>
      <c r="F412" s="354"/>
      <c r="G412" s="355"/>
      <c r="H412" s="356"/>
      <c r="I412" s="356"/>
      <c r="J412" s="356"/>
      <c r="K412" s="356"/>
      <c r="L412" s="357"/>
    </row>
    <row r="413" spans="1:12" x14ac:dyDescent="0.3">
      <c r="A413" s="728"/>
      <c r="B413" s="358" t="s">
        <v>19</v>
      </c>
      <c r="C413" s="359" t="s">
        <v>20</v>
      </c>
      <c r="D413" s="361">
        <f>SUM(D414:D416)</f>
        <v>877721.66999999993</v>
      </c>
      <c r="E413" s="361">
        <f>SUM(E414:E416)</f>
        <v>854590.11</v>
      </c>
      <c r="F413" s="362">
        <f>E413/D413</f>
        <v>0.97364590531301343</v>
      </c>
      <c r="G413" s="363"/>
      <c r="H413" s="364"/>
      <c r="I413" s="364"/>
      <c r="J413" s="364"/>
      <c r="K413" s="364"/>
      <c r="L413" s="365"/>
    </row>
    <row r="414" spans="1:12" x14ac:dyDescent="0.3">
      <c r="A414" s="728"/>
      <c r="B414" s="366" t="s">
        <v>21</v>
      </c>
      <c r="C414" s="359" t="s">
        <v>20</v>
      </c>
      <c r="D414" s="361">
        <f>D6+D32+D123+D197+D226+D302+D347</f>
        <v>83798.8</v>
      </c>
      <c r="E414" s="361">
        <f>E6+E32+E123+E197+E226+E302+E347</f>
        <v>81814.099999999991</v>
      </c>
      <c r="F414" s="362">
        <f>E414/D414</f>
        <v>0.97631588996501129</v>
      </c>
      <c r="G414" s="363"/>
      <c r="H414" s="364"/>
      <c r="I414" s="364"/>
      <c r="J414" s="364"/>
      <c r="K414" s="364"/>
      <c r="L414" s="365" t="e">
        <f>ROUND(E414/E$487*100,1)</f>
        <v>#DIV/0!</v>
      </c>
    </row>
    <row r="415" spans="1:12" x14ac:dyDescent="0.3">
      <c r="A415" s="728"/>
      <c r="B415" s="366" t="s">
        <v>74</v>
      </c>
      <c r="C415" s="359" t="s">
        <v>20</v>
      </c>
      <c r="D415" s="361">
        <f>D7+D33+D125+D198+D227+D303+D348</f>
        <v>450865.86999999994</v>
      </c>
      <c r="E415" s="361">
        <f>E7+E33+E125+E198+E227+E303+E348</f>
        <v>441983.87</v>
      </c>
      <c r="F415" s="362">
        <f>E415/D415</f>
        <v>0.98030012784068143</v>
      </c>
      <c r="G415" s="367"/>
      <c r="H415" s="368"/>
      <c r="I415" s="368"/>
      <c r="J415" s="368"/>
      <c r="K415" s="368"/>
      <c r="L415" s="365" t="e">
        <f>ROUND(E415/E$487*100,1)</f>
        <v>#DIV/0!</v>
      </c>
    </row>
    <row r="416" spans="1:12" x14ac:dyDescent="0.3">
      <c r="A416" s="728"/>
      <c r="B416" s="366" t="s">
        <v>35</v>
      </c>
      <c r="C416" s="359" t="s">
        <v>20</v>
      </c>
      <c r="D416" s="361">
        <f>D8+D34+D126+D199+D228+D304+D349</f>
        <v>343057</v>
      </c>
      <c r="E416" s="361">
        <f>E8+E34+E126+E199+E228+E304+E349</f>
        <v>330792.14</v>
      </c>
      <c r="F416" s="362">
        <f>E416/D416</f>
        <v>0.96424833190985759</v>
      </c>
      <c r="G416" s="367"/>
      <c r="H416" s="368"/>
      <c r="I416" s="368"/>
      <c r="J416" s="368"/>
      <c r="K416" s="368"/>
      <c r="L416" s="365" t="e">
        <f>ROUND(E416/E$487*100,1)</f>
        <v>#DIV/0!</v>
      </c>
    </row>
    <row r="417" spans="1:12" ht="40.200000000000003" thickBot="1" x14ac:dyDescent="0.35">
      <c r="A417" s="729"/>
      <c r="B417" s="370" t="s">
        <v>208</v>
      </c>
      <c r="C417" s="371" t="s">
        <v>26</v>
      </c>
      <c r="D417" s="372"/>
      <c r="E417" s="374"/>
      <c r="F417" s="375"/>
      <c r="G417" s="377"/>
      <c r="H417" s="377"/>
      <c r="I417" s="377"/>
      <c r="J417" s="377"/>
      <c r="K417" s="377"/>
      <c r="L417" s="376"/>
    </row>
  </sheetData>
  <mergeCells count="50">
    <mergeCell ref="A412:A417"/>
    <mergeCell ref="D1:D2"/>
    <mergeCell ref="E1:E2"/>
    <mergeCell ref="F1:F2"/>
    <mergeCell ref="J1:J2"/>
    <mergeCell ref="A195:A201"/>
    <mergeCell ref="A224:A231"/>
    <mergeCell ref="A108:A119"/>
    <mergeCell ref="A121:A127"/>
    <mergeCell ref="A30:A35"/>
    <mergeCell ref="A10:A20"/>
    <mergeCell ref="A21:A29"/>
    <mergeCell ref="A36:A48"/>
    <mergeCell ref="A59:A69"/>
    <mergeCell ref="A49:A58"/>
    <mergeCell ref="A70:A107"/>
    <mergeCell ref="G1:G2"/>
    <mergeCell ref="H1:H2"/>
    <mergeCell ref="I1:I2"/>
    <mergeCell ref="L1:L2"/>
    <mergeCell ref="A4:A9"/>
    <mergeCell ref="A1:A2"/>
    <mergeCell ref="B1:B2"/>
    <mergeCell ref="C1:C2"/>
    <mergeCell ref="K1:K2"/>
    <mergeCell ref="A128:A146"/>
    <mergeCell ref="A147:A164"/>
    <mergeCell ref="A165:A175"/>
    <mergeCell ref="A176:A183"/>
    <mergeCell ref="A184:A194"/>
    <mergeCell ref="A202:A212"/>
    <mergeCell ref="A213:A223"/>
    <mergeCell ref="A232:A239"/>
    <mergeCell ref="A240:A249"/>
    <mergeCell ref="A250:A257"/>
    <mergeCell ref="A258:A267"/>
    <mergeCell ref="A268:A277"/>
    <mergeCell ref="A278:A289"/>
    <mergeCell ref="A290:A299"/>
    <mergeCell ref="A306:A316"/>
    <mergeCell ref="A300:A305"/>
    <mergeCell ref="A376:A394"/>
    <mergeCell ref="A395:A402"/>
    <mergeCell ref="A403:A411"/>
    <mergeCell ref="A317:A327"/>
    <mergeCell ref="A328:A336"/>
    <mergeCell ref="A337:A344"/>
    <mergeCell ref="A350:A355"/>
    <mergeCell ref="A356:A375"/>
    <mergeCell ref="A345:A349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workbookViewId="0">
      <selection activeCell="E1" sqref="E1"/>
    </sheetView>
  </sheetViews>
  <sheetFormatPr defaultRowHeight="14.4" x14ac:dyDescent="0.3"/>
  <cols>
    <col min="1" max="1" width="26.21875" customWidth="1"/>
  </cols>
  <sheetData>
    <row r="1" spans="1:5" ht="53.4" customHeight="1" thickBot="1" x14ac:dyDescent="0.35">
      <c r="A1" s="60" t="s">
        <v>76</v>
      </c>
      <c r="B1" s="673">
        <v>0.05</v>
      </c>
      <c r="C1" s="675">
        <v>1</v>
      </c>
      <c r="E1" s="677">
        <f>(B1*C1+B2*C2+B3*C3+B4*C4+B5*C5+B6*C6+B7*C7+B8*C8+B9*C9+B10*C10+B11*C11+B12*C12+B13*C13+B14*C14+B15*C15+B16*C16+B17*C17+B18*C18+B19*C19+B20*C20+B21*C21+B22*C22+B23*C23+B24*C24+B25*C25+B26*C26+B27*C27+B28*C28+B29*C29+B30*C30+B31*C31)/B33</f>
        <v>1.2141995772107561E-2</v>
      </c>
    </row>
    <row r="2" spans="1:5" ht="45.6" customHeight="1" thickBot="1" x14ac:dyDescent="0.35">
      <c r="A2" s="60" t="s">
        <v>77</v>
      </c>
      <c r="B2" s="673">
        <v>0.04</v>
      </c>
      <c r="C2" s="675">
        <v>0.66666666666666663</v>
      </c>
    </row>
    <row r="3" spans="1:5" ht="41.4" customHeight="1" thickBot="1" x14ac:dyDescent="0.35">
      <c r="A3" s="60" t="s">
        <v>78</v>
      </c>
      <c r="B3" s="673">
        <v>0.03</v>
      </c>
      <c r="C3" s="675">
        <v>0</v>
      </c>
    </row>
    <row r="4" spans="1:5" ht="45.6" customHeight="1" thickBot="1" x14ac:dyDescent="0.35">
      <c r="A4" s="60" t="s">
        <v>79</v>
      </c>
      <c r="B4" s="673">
        <v>0.03</v>
      </c>
      <c r="C4" s="675">
        <v>1</v>
      </c>
    </row>
    <row r="5" spans="1:5" ht="45" customHeight="1" thickBot="1" x14ac:dyDescent="0.35">
      <c r="A5" s="60" t="s">
        <v>80</v>
      </c>
      <c r="B5" s="673">
        <v>0.02</v>
      </c>
      <c r="C5" s="675">
        <v>3</v>
      </c>
    </row>
    <row r="6" spans="1:5" ht="60" customHeight="1" thickBot="1" x14ac:dyDescent="0.35">
      <c r="A6" s="60" t="s">
        <v>81</v>
      </c>
      <c r="B6" s="673">
        <v>0.01</v>
      </c>
      <c r="C6" s="675">
        <v>0.16666666666666666</v>
      </c>
    </row>
    <row r="7" spans="1:5" ht="57" customHeight="1" thickBot="1" x14ac:dyDescent="0.35">
      <c r="A7" s="60" t="s">
        <v>82</v>
      </c>
      <c r="B7" s="673">
        <v>0.01</v>
      </c>
      <c r="C7" s="675">
        <v>1</v>
      </c>
    </row>
    <row r="8" spans="1:5" ht="81" customHeight="1" thickBot="1" x14ac:dyDescent="0.35">
      <c r="A8" s="60" t="s">
        <v>83</v>
      </c>
      <c r="B8" s="673">
        <v>0.01</v>
      </c>
      <c r="C8" s="675">
        <v>1.6666666666666667</v>
      </c>
    </row>
    <row r="9" spans="1:5" ht="40.200000000000003" customHeight="1" thickBot="1" x14ac:dyDescent="0.35">
      <c r="A9" s="60" t="s">
        <v>84</v>
      </c>
      <c r="B9" s="673">
        <v>0.03</v>
      </c>
      <c r="C9" s="675">
        <v>0.89535408209291834</v>
      </c>
    </row>
    <row r="10" spans="1:5" ht="40.799999999999997" customHeight="1" thickBot="1" x14ac:dyDescent="0.35">
      <c r="A10" s="60" t="s">
        <v>85</v>
      </c>
      <c r="B10" s="673">
        <v>0.03</v>
      </c>
      <c r="C10" s="675">
        <v>0.99555903866248696</v>
      </c>
    </row>
    <row r="11" spans="1:5" ht="43.8" customHeight="1" thickBot="1" x14ac:dyDescent="0.35">
      <c r="A11" s="60" t="s">
        <v>86</v>
      </c>
      <c r="B11" s="673">
        <v>0.02</v>
      </c>
      <c r="C11" s="675">
        <v>1.6055900621118013</v>
      </c>
    </row>
    <row r="12" spans="1:5" ht="31.8" customHeight="1" thickBot="1" x14ac:dyDescent="0.35">
      <c r="A12" s="60" t="s">
        <v>87</v>
      </c>
      <c r="B12" s="673">
        <v>0.02</v>
      </c>
      <c r="C12" s="675">
        <v>0.81546218487394961</v>
      </c>
    </row>
    <row r="13" spans="1:5" ht="39.6" customHeight="1" x14ac:dyDescent="0.3">
      <c r="A13" s="60" t="s">
        <v>88</v>
      </c>
      <c r="B13" s="674">
        <v>0.05</v>
      </c>
      <c r="C13" s="675">
        <v>1</v>
      </c>
    </row>
    <row r="14" spans="1:5" ht="70.8" customHeight="1" thickBot="1" x14ac:dyDescent="0.35">
      <c r="A14" s="401" t="s">
        <v>89</v>
      </c>
      <c r="B14" s="673">
        <v>1.4999999999999999E-2</v>
      </c>
      <c r="C14" s="675">
        <v>1.0146341463414634</v>
      </c>
    </row>
    <row r="15" spans="1:5" ht="73.8" customHeight="1" thickBot="1" x14ac:dyDescent="0.35">
      <c r="A15" s="60" t="s">
        <v>90</v>
      </c>
      <c r="B15" s="673">
        <v>1.4999999999999999E-2</v>
      </c>
      <c r="C15" s="675">
        <v>1.0302325581395348</v>
      </c>
    </row>
    <row r="16" spans="1:5" ht="41.4" customHeight="1" thickBot="1" x14ac:dyDescent="0.35">
      <c r="A16" s="60" t="s">
        <v>91</v>
      </c>
      <c r="B16" s="673">
        <v>0.02</v>
      </c>
      <c r="C16" s="675">
        <v>1</v>
      </c>
    </row>
    <row r="17" spans="1:3" ht="44.4" customHeight="1" thickBot="1" x14ac:dyDescent="0.35">
      <c r="A17" s="60" t="s">
        <v>92</v>
      </c>
      <c r="B17" s="673">
        <v>2.5000000000000001E-2</v>
      </c>
      <c r="C17" s="675">
        <v>0.81097560975609762</v>
      </c>
    </row>
    <row r="18" spans="1:3" ht="46.2" customHeight="1" thickBot="1" x14ac:dyDescent="0.35">
      <c r="A18" s="60" t="s">
        <v>93</v>
      </c>
      <c r="B18" s="673">
        <v>2.5000000000000001E-2</v>
      </c>
      <c r="C18" s="675">
        <v>2.1476923076923078</v>
      </c>
    </row>
    <row r="19" spans="1:3" ht="87.6" customHeight="1" thickBot="1" x14ac:dyDescent="0.35">
      <c r="A19" s="60" t="s">
        <v>94</v>
      </c>
      <c r="B19" s="673">
        <v>0.05</v>
      </c>
      <c r="C19" s="675">
        <v>1.6666666666666667</v>
      </c>
    </row>
    <row r="20" spans="1:3" ht="41.4" customHeight="1" thickBot="1" x14ac:dyDescent="0.35">
      <c r="A20" s="60" t="s">
        <v>95</v>
      </c>
      <c r="B20" s="673">
        <v>0.03</v>
      </c>
      <c r="C20" s="675">
        <v>1.0833333333333333</v>
      </c>
    </row>
    <row r="21" spans="1:3" ht="43.8" customHeight="1" thickBot="1" x14ac:dyDescent="0.35">
      <c r="A21" s="60" t="s">
        <v>96</v>
      </c>
      <c r="B21" s="673">
        <v>0.02</v>
      </c>
      <c r="C21" s="675">
        <v>0.8571428571428571</v>
      </c>
    </row>
    <row r="22" spans="1:3" ht="60" customHeight="1" thickBot="1" x14ac:dyDescent="0.35">
      <c r="A22" s="60" t="s">
        <v>97</v>
      </c>
      <c r="B22" s="673">
        <v>0.02</v>
      </c>
      <c r="C22" s="675">
        <v>3.8323529411764707</v>
      </c>
    </row>
    <row r="23" spans="1:3" ht="75" customHeight="1" thickBot="1" x14ac:dyDescent="0.35">
      <c r="A23" s="60" t="s">
        <v>98</v>
      </c>
      <c r="B23" s="673">
        <v>0.03</v>
      </c>
      <c r="C23" s="675">
        <v>1.2</v>
      </c>
    </row>
    <row r="24" spans="1:3" ht="28.2" customHeight="1" thickBot="1" x14ac:dyDescent="0.35">
      <c r="A24" s="60" t="s">
        <v>99</v>
      </c>
      <c r="B24" s="673">
        <v>0.05</v>
      </c>
      <c r="C24" s="675">
        <v>0</v>
      </c>
    </row>
    <row r="25" spans="1:3" ht="70.8" customHeight="1" thickBot="1" x14ac:dyDescent="0.35">
      <c r="A25" s="60" t="s">
        <v>100</v>
      </c>
      <c r="B25" s="673">
        <v>0.05</v>
      </c>
      <c r="C25" s="675">
        <v>0.9</v>
      </c>
    </row>
    <row r="26" spans="1:3" ht="81.599999999999994" customHeight="1" thickBot="1" x14ac:dyDescent="0.35">
      <c r="A26" s="60" t="s">
        <v>101</v>
      </c>
      <c r="B26" s="673">
        <v>0.05</v>
      </c>
      <c r="C26" s="675">
        <v>1.02</v>
      </c>
    </row>
    <row r="27" spans="1:3" ht="46.2" customHeight="1" x14ac:dyDescent="0.3">
      <c r="A27" s="670" t="s">
        <v>313</v>
      </c>
      <c r="B27" s="674">
        <v>0.05</v>
      </c>
      <c r="C27" s="675">
        <v>0.75</v>
      </c>
    </row>
    <row r="28" spans="1:3" ht="74.400000000000006" customHeight="1" x14ac:dyDescent="0.3">
      <c r="A28" s="670" t="s">
        <v>314</v>
      </c>
      <c r="B28" s="674">
        <v>0.1</v>
      </c>
      <c r="C28" s="675">
        <v>1.6666666666666667</v>
      </c>
    </row>
    <row r="29" spans="1:3" ht="18" customHeight="1" thickBot="1" x14ac:dyDescent="0.35">
      <c r="A29" s="670" t="s">
        <v>315</v>
      </c>
      <c r="B29" s="673">
        <v>0.05</v>
      </c>
      <c r="C29" s="675">
        <v>1.1481481481481481</v>
      </c>
    </row>
    <row r="30" spans="1:3" ht="43.2" customHeight="1" thickBot="1" x14ac:dyDescent="0.35">
      <c r="A30" s="670" t="s">
        <v>316</v>
      </c>
      <c r="B30" s="673">
        <v>0.02</v>
      </c>
      <c r="C30" s="675">
        <v>1.1764705882352942</v>
      </c>
    </row>
    <row r="31" spans="1:3" ht="55.2" customHeight="1" thickBot="1" x14ac:dyDescent="0.35">
      <c r="A31" s="670" t="s">
        <v>317</v>
      </c>
      <c r="B31" s="673">
        <v>0.03</v>
      </c>
      <c r="C31" s="675">
        <v>1.0444444444444445</v>
      </c>
    </row>
    <row r="33" spans="2:2" ht="15.6" x14ac:dyDescent="0.3">
      <c r="B33" s="676">
        <v>93.3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2012</vt:lpstr>
      <vt:lpstr>Оценка эфективности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komp</dc:creator>
  <cp:lastModifiedBy>komp</cp:lastModifiedBy>
  <cp:lastPrinted>2013-08-02T06:40:18Z</cp:lastPrinted>
  <dcterms:created xsi:type="dcterms:W3CDTF">2013-04-19T05:30:11Z</dcterms:created>
  <dcterms:modified xsi:type="dcterms:W3CDTF">2013-08-02T11:25:37Z</dcterms:modified>
</cp:coreProperties>
</file>